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T59" i="1" l="1"/>
  <c r="R59" i="1"/>
  <c r="L58" i="1"/>
  <c r="J58" i="1"/>
  <c r="L57" i="1"/>
  <c r="J57" i="1"/>
  <c r="N56" i="1"/>
  <c r="J56" i="1"/>
  <c r="H56" i="1"/>
  <c r="G56" i="1"/>
  <c r="F56" i="1"/>
  <c r="C56" i="1"/>
  <c r="N55" i="1"/>
  <c r="N57" i="1" s="1"/>
  <c r="N58" i="1" s="1"/>
  <c r="J55" i="1"/>
  <c r="H55" i="1"/>
  <c r="F55" i="1"/>
  <c r="D55" i="1"/>
  <c r="D54" i="1"/>
  <c r="O54" i="1" s="1"/>
  <c r="T53" i="1"/>
  <c r="S53" i="1"/>
  <c r="O53" i="1"/>
  <c r="M53" i="1"/>
  <c r="K53" i="1"/>
  <c r="Q53" i="1" s="1"/>
  <c r="R53" i="1" s="1"/>
  <c r="E53" i="1"/>
  <c r="T52" i="1"/>
  <c r="S52" i="1"/>
  <c r="M52" i="1"/>
  <c r="K52" i="1"/>
  <c r="G52" i="1"/>
  <c r="H52" i="1" s="1"/>
  <c r="C52" i="1"/>
  <c r="E52" i="1" s="1"/>
  <c r="S51" i="1"/>
  <c r="T51" i="1" s="1"/>
  <c r="O51" i="1"/>
  <c r="M51" i="1"/>
  <c r="K51" i="1"/>
  <c r="Q51" i="1" s="1"/>
  <c r="R51" i="1" s="1"/>
  <c r="E51" i="1"/>
  <c r="S50" i="1"/>
  <c r="T50" i="1" s="1"/>
  <c r="M50" i="1"/>
  <c r="K50" i="1"/>
  <c r="Q50" i="1" s="1"/>
  <c r="R50" i="1" s="1"/>
  <c r="H50" i="1"/>
  <c r="G50" i="1"/>
  <c r="C50" i="1"/>
  <c r="E50" i="1" s="1"/>
  <c r="O49" i="1"/>
  <c r="D49" i="1"/>
  <c r="D56" i="1" s="1"/>
  <c r="E56" i="1" s="1"/>
  <c r="S48" i="1"/>
  <c r="O48" i="1"/>
  <c r="M48" i="1"/>
  <c r="M56" i="1" s="1"/>
  <c r="K48" i="1"/>
  <c r="S47" i="1"/>
  <c r="T47" i="1" s="1"/>
  <c r="M47" i="1"/>
  <c r="K47" i="1"/>
  <c r="H47" i="1"/>
  <c r="G47" i="1"/>
  <c r="C47" i="1"/>
  <c r="N45" i="1"/>
  <c r="N44" i="1"/>
  <c r="L44" i="1"/>
  <c r="L56" i="1" s="1"/>
  <c r="H44" i="1"/>
  <c r="H58" i="1" s="1"/>
  <c r="G44" i="1"/>
  <c r="G58" i="1" s="1"/>
  <c r="N43" i="1"/>
  <c r="L43" i="1"/>
  <c r="L55" i="1" s="1"/>
  <c r="D43" i="1"/>
  <c r="S42" i="1"/>
  <c r="T42" i="1" s="1"/>
  <c r="O42" i="1"/>
  <c r="M42" i="1"/>
  <c r="K42" i="1"/>
  <c r="Q42" i="1" s="1"/>
  <c r="R42" i="1" s="1"/>
  <c r="E42" i="1"/>
  <c r="O41" i="1"/>
  <c r="K41" i="1"/>
  <c r="H41" i="1"/>
  <c r="F41" i="1"/>
  <c r="S41" i="1" s="1"/>
  <c r="T41" i="1" s="1"/>
  <c r="E41" i="1"/>
  <c r="S40" i="1"/>
  <c r="T40" i="1" s="1"/>
  <c r="M40" i="1"/>
  <c r="K40" i="1"/>
  <c r="H40" i="1"/>
  <c r="G40" i="1"/>
  <c r="C40" i="1"/>
  <c r="E40" i="1" s="1"/>
  <c r="T39" i="1"/>
  <c r="S39" i="1"/>
  <c r="O39" i="1"/>
  <c r="M39" i="1"/>
  <c r="K39" i="1"/>
  <c r="Q39" i="1" s="1"/>
  <c r="R39" i="1" s="1"/>
  <c r="E39" i="1"/>
  <c r="Q38" i="1"/>
  <c r="R38" i="1" s="1"/>
  <c r="K38" i="1"/>
  <c r="G38" i="1"/>
  <c r="F38" i="1"/>
  <c r="M38" i="1" s="1"/>
  <c r="C38" i="1"/>
  <c r="E38" i="1" s="1"/>
  <c r="O37" i="1"/>
  <c r="D37" i="1"/>
  <c r="D44" i="1" s="1"/>
  <c r="O36" i="1"/>
  <c r="O44" i="1" s="1"/>
  <c r="K36" i="1"/>
  <c r="K44" i="1" s="1"/>
  <c r="F36" i="1"/>
  <c r="F44" i="1" s="1"/>
  <c r="K35" i="1"/>
  <c r="F35" i="1"/>
  <c r="M35" i="1" s="1"/>
  <c r="M43" i="1" s="1"/>
  <c r="I34" i="1"/>
  <c r="H32" i="1"/>
  <c r="G32" i="1"/>
  <c r="F32" i="1"/>
  <c r="C32" i="1"/>
  <c r="N31" i="1"/>
  <c r="N33" i="1" s="1"/>
  <c r="L31" i="1"/>
  <c r="L33" i="1" s="1"/>
  <c r="D31" i="1"/>
  <c r="O30" i="1"/>
  <c r="N30" i="1"/>
  <c r="N46" i="1" s="1"/>
  <c r="M30" i="1"/>
  <c r="K30" i="1"/>
  <c r="E30" i="1"/>
  <c r="K29" i="1"/>
  <c r="F29" i="1"/>
  <c r="S29" i="1" s="1"/>
  <c r="T29" i="1" s="1"/>
  <c r="S28" i="1"/>
  <c r="T28" i="1" s="1"/>
  <c r="P28" i="1"/>
  <c r="M28" i="1"/>
  <c r="K28" i="1"/>
  <c r="T26" i="1"/>
  <c r="S26" i="1"/>
  <c r="M26" i="1"/>
  <c r="Q26" i="1" s="1"/>
  <c r="R26" i="1" s="1"/>
  <c r="K26" i="1"/>
  <c r="D26" i="1"/>
  <c r="T25" i="1"/>
  <c r="S25" i="1"/>
  <c r="M25" i="1"/>
  <c r="K25" i="1"/>
  <c r="Q25" i="1" s="1"/>
  <c r="R25" i="1" s="1"/>
  <c r="G25" i="1"/>
  <c r="H25" i="1" s="1"/>
  <c r="C25" i="1"/>
  <c r="E25" i="1" s="1"/>
  <c r="S24" i="1"/>
  <c r="P24" i="1"/>
  <c r="M24" i="1"/>
  <c r="K24" i="1"/>
  <c r="K32" i="1" s="1"/>
  <c r="E24" i="1"/>
  <c r="O23" i="1"/>
  <c r="S22" i="1"/>
  <c r="T22" i="1" s="1"/>
  <c r="O22" i="1"/>
  <c r="M22" i="1"/>
  <c r="Q22" i="1" s="1"/>
  <c r="R22" i="1" s="1"/>
  <c r="K22" i="1"/>
  <c r="E22" i="1"/>
  <c r="T21" i="1"/>
  <c r="S21" i="1"/>
  <c r="M21" i="1"/>
  <c r="K21" i="1"/>
  <c r="K31" i="1" s="1"/>
  <c r="G21" i="1"/>
  <c r="E21" i="1"/>
  <c r="C21" i="1"/>
  <c r="N20" i="1"/>
  <c r="L20" i="1"/>
  <c r="H20" i="1"/>
  <c r="H34" i="1" s="1"/>
  <c r="G20" i="1"/>
  <c r="G34" i="1" s="1"/>
  <c r="G60" i="1" s="1"/>
  <c r="F20" i="1"/>
  <c r="C20" i="1"/>
  <c r="C34" i="1" s="1"/>
  <c r="N19" i="1"/>
  <c r="L19" i="1"/>
  <c r="F19" i="1"/>
  <c r="D19" i="1"/>
  <c r="S18" i="1"/>
  <c r="T18" i="1" s="1"/>
  <c r="P18" i="1"/>
  <c r="M18" i="1"/>
  <c r="K18" i="1"/>
  <c r="Q18" i="1" s="1"/>
  <c r="R18" i="1" s="1"/>
  <c r="S17" i="1"/>
  <c r="T17" i="1" s="1"/>
  <c r="P17" i="1"/>
  <c r="M17" i="1"/>
  <c r="Q17" i="1" s="1"/>
  <c r="R17" i="1" s="1"/>
  <c r="K17" i="1"/>
  <c r="D16" i="1"/>
  <c r="E15" i="1" s="1"/>
  <c r="O15" i="1"/>
  <c r="K15" i="1"/>
  <c r="F15" i="1"/>
  <c r="S15" i="1" s="1"/>
  <c r="T15" i="1" s="1"/>
  <c r="D15" i="1"/>
  <c r="E17" i="1" s="1"/>
  <c r="S14" i="1"/>
  <c r="T14" i="1" s="1"/>
  <c r="M14" i="1"/>
  <c r="Q14" i="1" s="1"/>
  <c r="R14" i="1" s="1"/>
  <c r="K14" i="1"/>
  <c r="G14" i="1"/>
  <c r="H14" i="1" s="1"/>
  <c r="E14" i="1"/>
  <c r="C14" i="1"/>
  <c r="S13" i="1"/>
  <c r="T13" i="1" s="1"/>
  <c r="O13" i="1"/>
  <c r="M13" i="1"/>
  <c r="K13" i="1"/>
  <c r="E13" i="1"/>
  <c r="D13" i="1"/>
  <c r="D20" i="1" s="1"/>
  <c r="T12" i="1"/>
  <c r="S12" i="1"/>
  <c r="P12" i="1"/>
  <c r="O12" i="1"/>
  <c r="M12" i="1"/>
  <c r="K12" i="1"/>
  <c r="E12" i="1"/>
  <c r="D12" i="1"/>
  <c r="S11" i="1"/>
  <c r="T11" i="1" s="1"/>
  <c r="P11" i="1"/>
  <c r="O11" i="1"/>
  <c r="M11" i="1"/>
  <c r="K11" i="1"/>
  <c r="E11" i="1"/>
  <c r="D11" i="1"/>
  <c r="S10" i="1"/>
  <c r="T10" i="1" s="1"/>
  <c r="M10" i="1"/>
  <c r="Q10" i="1" s="1"/>
  <c r="R10" i="1" s="1"/>
  <c r="K10" i="1"/>
  <c r="H10" i="1"/>
  <c r="G10" i="1"/>
  <c r="E10" i="1"/>
  <c r="C10" i="1"/>
  <c r="T9" i="1"/>
  <c r="S9" i="1"/>
  <c r="P9" i="1"/>
  <c r="M9" i="1"/>
  <c r="K9" i="1"/>
  <c r="K20" i="1" s="1"/>
  <c r="E9" i="1"/>
  <c r="P8" i="1"/>
  <c r="S7" i="1"/>
  <c r="T7" i="1" s="1"/>
  <c r="O7" i="1"/>
  <c r="M7" i="1"/>
  <c r="K7" i="1"/>
  <c r="Q7" i="1" s="1"/>
  <c r="R7" i="1" s="1"/>
  <c r="E7" i="1"/>
  <c r="T6" i="1"/>
  <c r="S6" i="1"/>
  <c r="M6" i="1"/>
  <c r="M19" i="1" s="1"/>
  <c r="K6" i="1"/>
  <c r="K19" i="1" s="1"/>
  <c r="G6" i="1"/>
  <c r="C6" i="1"/>
  <c r="C19" i="1" s="1"/>
  <c r="E19" i="1" s="1"/>
  <c r="T31" i="1" l="1"/>
  <c r="F34" i="1"/>
  <c r="E6" i="1"/>
  <c r="S19" i="1"/>
  <c r="S20" i="1"/>
  <c r="Q11" i="1"/>
  <c r="R11" i="1" s="1"/>
  <c r="Q12" i="1"/>
  <c r="R12" i="1" s="1"/>
  <c r="Q13" i="1"/>
  <c r="R13" i="1" s="1"/>
  <c r="M15" i="1"/>
  <c r="C31" i="1"/>
  <c r="M32" i="1"/>
  <c r="Q28" i="1"/>
  <c r="R28" i="1" s="1"/>
  <c r="C29" i="1"/>
  <c r="E29" i="1" s="1"/>
  <c r="K43" i="1"/>
  <c r="G55" i="1"/>
  <c r="Q15" i="1"/>
  <c r="R15" i="1" s="1"/>
  <c r="G19" i="1"/>
  <c r="T19" i="1"/>
  <c r="T33" i="1" s="1"/>
  <c r="O20" i="1"/>
  <c r="P20" i="1" s="1"/>
  <c r="K34" i="1"/>
  <c r="P15" i="1"/>
  <c r="S31" i="1"/>
  <c r="D58" i="1"/>
  <c r="E48" i="1"/>
  <c r="D57" i="1"/>
  <c r="M55" i="1"/>
  <c r="M57" i="1" s="1"/>
  <c r="P13" i="1"/>
  <c r="D33" i="1"/>
  <c r="E33" i="1" s="1"/>
  <c r="F58" i="1"/>
  <c r="Q40" i="1"/>
  <c r="R40" i="1" s="1"/>
  <c r="E20" i="1"/>
  <c r="D45" i="1"/>
  <c r="D59" i="1"/>
  <c r="F46" i="1"/>
  <c r="F60" i="1"/>
  <c r="K46" i="1"/>
  <c r="N34" i="1"/>
  <c r="N59" i="1"/>
  <c r="E28" i="1"/>
  <c r="D32" i="1"/>
  <c r="E32" i="1" s="1"/>
  <c r="D27" i="1"/>
  <c r="O27" i="1" s="1"/>
  <c r="L59" i="1"/>
  <c r="L45" i="1"/>
  <c r="L34" i="1"/>
  <c r="P44" i="1"/>
  <c r="Q6" i="1"/>
  <c r="P7" i="1"/>
  <c r="M20" i="1"/>
  <c r="P16" i="1"/>
  <c r="E18" i="1"/>
  <c r="H60" i="1"/>
  <c r="H46" i="1"/>
  <c r="C33" i="1"/>
  <c r="Q21" i="1"/>
  <c r="Q30" i="1"/>
  <c r="R30" i="1" s="1"/>
  <c r="K55" i="1"/>
  <c r="Q47" i="1"/>
  <c r="Q48" i="1"/>
  <c r="H6" i="1"/>
  <c r="H19" i="1" s="1"/>
  <c r="T20" i="1"/>
  <c r="Q29" i="1"/>
  <c r="R29" i="1" s="1"/>
  <c r="E31" i="1"/>
  <c r="S35" i="1"/>
  <c r="C35" i="1"/>
  <c r="G35" i="1"/>
  <c r="G43" i="1" s="1"/>
  <c r="C55" i="1"/>
  <c r="E55" i="1" s="1"/>
  <c r="E47" i="1"/>
  <c r="S56" i="1"/>
  <c r="T48" i="1"/>
  <c r="T56" i="1" s="1"/>
  <c r="S55" i="1"/>
  <c r="K33" i="1"/>
  <c r="K45" i="1" s="1"/>
  <c r="Q9" i="1"/>
  <c r="T24" i="1"/>
  <c r="O26" i="1"/>
  <c r="O32" i="1" s="1"/>
  <c r="P32" i="1" s="1"/>
  <c r="K57" i="1"/>
  <c r="K59" i="1" s="1"/>
  <c r="G46" i="1"/>
  <c r="T55" i="1"/>
  <c r="O56" i="1"/>
  <c r="P56" i="1" s="1"/>
  <c r="Q52" i="1"/>
  <c r="R52" i="1" s="1"/>
  <c r="M29" i="1"/>
  <c r="M31" i="1" s="1"/>
  <c r="M33" i="1" s="1"/>
  <c r="S30" i="1"/>
  <c r="T30" i="1" s="1"/>
  <c r="Q35" i="1"/>
  <c r="C36" i="1"/>
  <c r="C44" i="1" s="1"/>
  <c r="C58" i="1" s="1"/>
  <c r="C60" i="1" s="1"/>
  <c r="M36" i="1"/>
  <c r="M44" i="1" s="1"/>
  <c r="M58" i="1" s="1"/>
  <c r="S36" i="1"/>
  <c r="H38" i="1"/>
  <c r="K56" i="1"/>
  <c r="K58" i="1" s="1"/>
  <c r="K60" i="1" s="1"/>
  <c r="H21" i="1"/>
  <c r="Q24" i="1"/>
  <c r="G29" i="1"/>
  <c r="G31" i="1" s="1"/>
  <c r="G33" i="1" s="1"/>
  <c r="F31" i="1"/>
  <c r="F33" i="1" s="1"/>
  <c r="S38" i="1"/>
  <c r="T38" i="1" s="1"/>
  <c r="M41" i="1"/>
  <c r="Q41" i="1" s="1"/>
  <c r="R41" i="1" s="1"/>
  <c r="H35" i="1" l="1"/>
  <c r="Q36" i="1"/>
  <c r="S32" i="1"/>
  <c r="G57" i="1"/>
  <c r="G59" i="1" s="1"/>
  <c r="M34" i="1"/>
  <c r="Q34" i="1" s="1"/>
  <c r="O58" i="1"/>
  <c r="P58" i="1" s="1"/>
  <c r="E26" i="1"/>
  <c r="S33" i="1"/>
  <c r="M59" i="1"/>
  <c r="M45" i="1"/>
  <c r="G45" i="1"/>
  <c r="E35" i="1"/>
  <c r="C43" i="1"/>
  <c r="C45" i="1" s="1"/>
  <c r="E45" i="1" s="1"/>
  <c r="E58" i="1"/>
  <c r="O34" i="1"/>
  <c r="C46" i="1"/>
  <c r="H43" i="1"/>
  <c r="H57" i="1" s="1"/>
  <c r="Q56" i="1"/>
  <c r="R48" i="1"/>
  <c r="R56" i="1" s="1"/>
  <c r="Q19" i="1"/>
  <c r="R6" i="1"/>
  <c r="R19" i="1" s="1"/>
  <c r="L46" i="1"/>
  <c r="L60" i="1"/>
  <c r="R34" i="1"/>
  <c r="Q46" i="1"/>
  <c r="Q43" i="1"/>
  <c r="R35" i="1"/>
  <c r="R43" i="1" s="1"/>
  <c r="T36" i="1"/>
  <c r="T44" i="1" s="1"/>
  <c r="T58" i="1" s="1"/>
  <c r="S44" i="1"/>
  <c r="S58" i="1" s="1"/>
  <c r="H29" i="1"/>
  <c r="N60" i="1"/>
  <c r="S34" i="1"/>
  <c r="Q44" i="1"/>
  <c r="R36" i="1"/>
  <c r="R44" i="1" s="1"/>
  <c r="Q32" i="1"/>
  <c r="R24" i="1"/>
  <c r="R32" i="1" s="1"/>
  <c r="E44" i="1"/>
  <c r="S43" i="1"/>
  <c r="T35" i="1"/>
  <c r="T43" i="1" s="1"/>
  <c r="R47" i="1"/>
  <c r="R55" i="1" s="1"/>
  <c r="R57" i="1" s="1"/>
  <c r="Q55" i="1"/>
  <c r="E36" i="1"/>
  <c r="H31" i="1"/>
  <c r="H33" i="1" s="1"/>
  <c r="T32" i="1"/>
  <c r="Q20" i="1"/>
  <c r="R9" i="1"/>
  <c r="R20" i="1" s="1"/>
  <c r="R21" i="1"/>
  <c r="R31" i="1" s="1"/>
  <c r="Q31" i="1"/>
  <c r="M60" i="1"/>
  <c r="M46" i="1"/>
  <c r="D34" i="1"/>
  <c r="R58" i="1" l="1"/>
  <c r="Q57" i="1"/>
  <c r="Q58" i="1"/>
  <c r="Q60" i="1" s="1"/>
  <c r="H45" i="1"/>
  <c r="H59" i="1"/>
  <c r="S60" i="1"/>
  <c r="S46" i="1"/>
  <c r="T34" i="1"/>
  <c r="T57" i="1"/>
  <c r="T45" i="1"/>
  <c r="E34" i="1"/>
  <c r="D60" i="1"/>
  <c r="E60" i="1" s="1"/>
  <c r="D46" i="1"/>
  <c r="C57" i="1"/>
  <c r="F43" i="1"/>
  <c r="E43" i="1"/>
  <c r="S57" i="1"/>
  <c r="S45" i="1"/>
  <c r="R33" i="1"/>
  <c r="R45" i="1" s="1"/>
  <c r="O60" i="1"/>
  <c r="P60" i="1" s="1"/>
  <c r="O46" i="1"/>
  <c r="P34" i="1"/>
  <c r="R60" i="1"/>
  <c r="R46" i="1"/>
  <c r="Q33" i="1"/>
  <c r="Q45" i="1" s="1"/>
  <c r="F57" i="1" l="1"/>
  <c r="F59" i="1" s="1"/>
  <c r="F45" i="1"/>
  <c r="E57" i="1"/>
  <c r="C59" i="1"/>
  <c r="E59" i="1" s="1"/>
  <c r="P46" i="1"/>
  <c r="E46" i="1"/>
  <c r="T46" i="1"/>
  <c r="T60" i="1"/>
</calcChain>
</file>

<file path=xl/sharedStrings.xml><?xml version="1.0" encoding="utf-8"?>
<sst xmlns="http://schemas.openxmlformats.org/spreadsheetml/2006/main" count="117" uniqueCount="54">
  <si>
    <t>ПЛАН-ФАКТ отпуска (передачи) электроэнергии потребителям по сетям предприятия МУП "ГЭС"на 2022 г.</t>
  </si>
  <si>
    <t>Отчетный период</t>
  </si>
  <si>
    <t>Покупка</t>
  </si>
  <si>
    <t>Потери*</t>
  </si>
  <si>
    <t>Передача эл. энергии, тыс.кВт.ч</t>
  </si>
  <si>
    <t>в том числе по уровням напряжения</t>
  </si>
  <si>
    <t>Заявленная мощность МВт</t>
  </si>
  <si>
    <t>Индивидуальный тариф на содержание сетей, руб./МВт.мес</t>
  </si>
  <si>
    <t>Содержание сетей, руб.</t>
  </si>
  <si>
    <t>Индивидуальный тариф на компенсацию потерь, руб./МВт.ч</t>
  </si>
  <si>
    <t>Стоимость технологических потерь, руб. по 2-х ставочному тарифу</t>
  </si>
  <si>
    <t>Одноставочный тариф, руб</t>
  </si>
  <si>
    <t>Сумма на возмещение потерь, руб./МВт. Мес.</t>
  </si>
  <si>
    <t>Всего выручка по двухставочному тарифу</t>
  </si>
  <si>
    <t>Всего выручка по одноставочному тарифу</t>
  </si>
  <si>
    <t>СН 2</t>
  </si>
  <si>
    <t>НН</t>
  </si>
  <si>
    <t>итого -принято для оплаты (без НДС)</t>
  </si>
  <si>
    <t>Рыночная цена (ст15/ст.4)</t>
  </si>
  <si>
    <t>без НДС</t>
  </si>
  <si>
    <t>с НДС, 20%</t>
  </si>
  <si>
    <t>с НДС,20%</t>
  </si>
  <si>
    <t>2022г.</t>
  </si>
  <si>
    <t>январь</t>
  </si>
  <si>
    <t>п</t>
  </si>
  <si>
    <t>ф</t>
  </si>
  <si>
    <t>сверхнорм.</t>
  </si>
  <si>
    <t>корр.</t>
  </si>
  <si>
    <t>февраль</t>
  </si>
  <si>
    <t>1 корр.</t>
  </si>
  <si>
    <t>2 корр.</t>
  </si>
  <si>
    <t>март</t>
  </si>
  <si>
    <t>1кв.</t>
  </si>
  <si>
    <t>апрель</t>
  </si>
  <si>
    <t>май</t>
  </si>
  <si>
    <t>июнь</t>
  </si>
  <si>
    <t>2кв.</t>
  </si>
  <si>
    <t xml:space="preserve">1 полугодие </t>
  </si>
  <si>
    <t>июль</t>
  </si>
  <si>
    <t>август</t>
  </si>
  <si>
    <t>сентябрь</t>
  </si>
  <si>
    <t xml:space="preserve">3кв. </t>
  </si>
  <si>
    <t>9мес.</t>
  </si>
  <si>
    <t>октябрь</t>
  </si>
  <si>
    <t>ноябрь</t>
  </si>
  <si>
    <t>декабрь</t>
  </si>
  <si>
    <t>4кв.</t>
  </si>
  <si>
    <t>2022г</t>
  </si>
  <si>
    <t>* Основание: Приказ Федеральной антимонопольной службы от 23 ноября 2021 № 1299/21-ДСП</t>
  </si>
  <si>
    <t>Директор МУП "Горэлектросеть"</t>
  </si>
  <si>
    <t>А.Ю. Александрук</t>
  </si>
  <si>
    <t>Начальник планово-экономического отдела</t>
  </si>
  <si>
    <t>Ю.А. Щепалина</t>
  </si>
  <si>
    <t>2 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</si>
</sst>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00"/>
    <numFmt numFmtId="165" formatCode="0.0000"/>
    <numFmt numFmtId="166" formatCode="0.00000"/>
    <numFmt numFmtId="167" formatCode="0.0000%"/>
    <numFmt numFmtId="168" formatCode="#,##0.000\ _₽"/>
    <numFmt numFmtId="169" formatCode="_-* #,##0.00_р_._-;\-* #,##0.00_р_._-;_-* &quot;-&quot;??_р_._-;_-@_-"/>
    <numFmt numFmtId="170" formatCode="_-* #,##0.000_р_._-;\-* #,##0.000_р_._-;_-* &quot;-&quot;??_р_._-;_-@_-"/>
    <numFmt numFmtId="171" formatCode="#,##0.00000"/>
    <numFmt numFmtId="172" formatCode="0.000"/>
    <numFmt numFmtId="173" formatCode="#,##0.0000"/>
    <numFmt numFmtId="174" formatCode="#,##0.000000000"/>
    <numFmt numFmtId="175" formatCode="#,##0.00000000"/>
    <numFmt numFmtId="176" formatCode="#,##0.0000000"/>
  </numFmts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9" fontId="7" fillId="0" borderId="0" applyFont="0" applyFill="0" applyBorder="0" applyAlignment="0" applyProtection="0"/>
  </cellStyleXfs>
  <cellXfs count="241">
    <xf numFmtId="0" fontId="0" fillId="0" borderId="0" xfId="0"/>
    <xf numFmtId="3" fontId="4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/>
    <xf numFmtId="4" fontId="3" fillId="2" borderId="7" xfId="0" applyNumberFormat="1" applyFont="1" applyFill="1" applyBorder="1" applyAlignment="1">
      <alignment horizontal="center" vertical="center" textRotation="255"/>
    </xf>
    <xf numFmtId="164" fontId="3" fillId="2" borderId="7" xfId="0" applyNumberFormat="1" applyFont="1" applyFill="1" applyBorder="1" applyAlignment="1">
      <alignment horizontal="center"/>
    </xf>
    <xf numFmtId="168" fontId="3" fillId="2" borderId="7" xfId="0" applyNumberFormat="1" applyFont="1" applyFill="1" applyBorder="1" applyAlignment="1">
      <alignment horizontal="center"/>
    </xf>
    <xf numFmtId="10" fontId="3" fillId="2" borderId="7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170" fontId="3" fillId="2" borderId="7" xfId="1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9" xfId="0" applyFont="1" applyFill="1" applyBorder="1"/>
    <xf numFmtId="4" fontId="4" fillId="2" borderId="2" xfId="0" applyNumberFormat="1" applyFont="1" applyFill="1" applyBorder="1" applyAlignment="1">
      <alignment horizontal="center" vertical="center" textRotation="255"/>
    </xf>
    <xf numFmtId="164" fontId="4" fillId="2" borderId="2" xfId="0" applyNumberFormat="1" applyFont="1" applyFill="1" applyBorder="1" applyAlignment="1">
      <alignment horizontal="center"/>
    </xf>
    <xf numFmtId="168" fontId="4" fillId="2" borderId="2" xfId="0" applyNumberFormat="1" applyFont="1" applyFill="1" applyBorder="1" applyAlignment="1">
      <alignment horizontal="center"/>
    </xf>
    <xf numFmtId="10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170" fontId="4" fillId="2" borderId="2" xfId="1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3" fillId="2" borderId="9" xfId="0" applyFont="1" applyFill="1" applyBorder="1"/>
    <xf numFmtId="4" fontId="3" fillId="2" borderId="2" xfId="0" applyNumberFormat="1" applyFont="1" applyFill="1" applyBorder="1" applyAlignment="1">
      <alignment horizontal="center" vertical="center" textRotation="255"/>
    </xf>
    <xf numFmtId="164" fontId="3" fillId="2" borderId="2" xfId="0" applyNumberFormat="1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 vertical="center"/>
    </xf>
    <xf numFmtId="10" fontId="3" fillId="2" borderId="2" xfId="0" applyNumberFormat="1" applyFont="1" applyFill="1" applyBorder="1" applyAlignment="1">
      <alignment horizontal="center"/>
    </xf>
    <xf numFmtId="172" fontId="3" fillId="2" borderId="2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170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4" fontId="3" fillId="2" borderId="6" xfId="0" applyNumberFormat="1" applyFont="1" applyFill="1" applyBorder="1"/>
    <xf numFmtId="172" fontId="3" fillId="2" borderId="7" xfId="0" applyNumberFormat="1" applyFont="1" applyFill="1" applyBorder="1" applyAlignment="1">
      <alignment horizontal="center"/>
    </xf>
    <xf numFmtId="4" fontId="3" fillId="2" borderId="0" xfId="0" applyNumberFormat="1" applyFont="1" applyFill="1"/>
    <xf numFmtId="4" fontId="4" fillId="2" borderId="9" xfId="0" applyNumberFormat="1" applyFont="1" applyFill="1" applyBorder="1"/>
    <xf numFmtId="172" fontId="4" fillId="2" borderId="2" xfId="0" applyNumberFormat="1" applyFont="1" applyFill="1" applyBorder="1" applyAlignment="1">
      <alignment horizontal="center"/>
    </xf>
    <xf numFmtId="4" fontId="4" fillId="2" borderId="0" xfId="0" applyNumberFormat="1" applyFont="1" applyFill="1"/>
    <xf numFmtId="4" fontId="3" fillId="2" borderId="9" xfId="0" applyNumberFormat="1" applyFont="1" applyFill="1" applyBorder="1"/>
    <xf numFmtId="0" fontId="4" fillId="2" borderId="12" xfId="0" applyFont="1" applyFill="1" applyBorder="1"/>
    <xf numFmtId="4" fontId="4" fillId="2" borderId="13" xfId="0" applyNumberFormat="1" applyFont="1" applyFill="1" applyBorder="1" applyAlignment="1">
      <alignment horizontal="center" vertical="center" textRotation="255"/>
    </xf>
    <xf numFmtId="164" fontId="4" fillId="2" borderId="13" xfId="0" applyNumberFormat="1" applyFont="1" applyFill="1" applyBorder="1" applyAlignment="1">
      <alignment horizontal="center"/>
    </xf>
    <xf numFmtId="168" fontId="4" fillId="2" borderId="13" xfId="0" applyNumberFormat="1" applyFont="1" applyFill="1" applyBorder="1" applyAlignment="1">
      <alignment horizontal="center" vertical="center"/>
    </xf>
    <xf numFmtId="10" fontId="4" fillId="2" borderId="13" xfId="0" applyNumberFormat="1" applyFont="1" applyFill="1" applyBorder="1" applyAlignment="1">
      <alignment horizontal="center"/>
    </xf>
    <xf numFmtId="172" fontId="4" fillId="2" borderId="13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166" fontId="4" fillId="2" borderId="13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170" fontId="4" fillId="2" borderId="13" xfId="1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8" fontId="3" fillId="2" borderId="7" xfId="0" applyNumberFormat="1" applyFont="1" applyFill="1" applyBorder="1" applyAlignment="1">
      <alignment horizontal="center" vertical="center"/>
    </xf>
    <xf numFmtId="171" fontId="3" fillId="2" borderId="7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8" fontId="4" fillId="2" borderId="2" xfId="0" applyNumberFormat="1" applyFont="1" applyFill="1" applyBorder="1" applyAlignment="1">
      <alignment horizontal="center" vertical="center"/>
    </xf>
    <xf numFmtId="171" fontId="4" fillId="2" borderId="2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71" fontId="3" fillId="2" borderId="2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textRotation="255"/>
    </xf>
    <xf numFmtId="164" fontId="3" fillId="2" borderId="5" xfId="0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6" fontId="3" fillId="2" borderId="5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171" fontId="3" fillId="2" borderId="5" xfId="0" applyNumberFormat="1" applyFont="1" applyFill="1" applyBorder="1" applyAlignment="1">
      <alignment horizontal="center"/>
    </xf>
    <xf numFmtId="170" fontId="3" fillId="2" borderId="5" xfId="1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/>
    <xf numFmtId="4" fontId="4" fillId="2" borderId="0" xfId="0" applyNumberFormat="1" applyFont="1" applyFill="1" applyBorder="1" applyAlignment="1">
      <alignment horizontal="center" vertical="center" textRotation="255"/>
    </xf>
    <xf numFmtId="4" fontId="4" fillId="2" borderId="0" xfId="0" applyNumberFormat="1" applyFont="1" applyFill="1" applyBorder="1" applyAlignment="1">
      <alignment horizontal="center"/>
    </xf>
    <xf numFmtId="171" fontId="4" fillId="2" borderId="0" xfId="0" applyNumberFormat="1" applyFont="1" applyFill="1" applyBorder="1" applyAlignment="1">
      <alignment horizontal="center"/>
    </xf>
    <xf numFmtId="170" fontId="4" fillId="2" borderId="0" xfId="1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0" fontId="3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4" fillId="2" borderId="4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top"/>
    </xf>
    <xf numFmtId="4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textRotation="255"/>
    </xf>
    <xf numFmtId="164" fontId="3" fillId="2" borderId="1" xfId="0" applyNumberFormat="1" applyFont="1" applyFill="1" applyBorder="1" applyAlignment="1">
      <alignment horizontal="center" vertical="top"/>
    </xf>
    <xf numFmtId="167" fontId="2" fillId="2" borderId="1" xfId="0" applyNumberFormat="1" applyFont="1" applyFill="1" applyBorder="1" applyAlignment="1">
      <alignment vertical="top"/>
    </xf>
    <xf numFmtId="10" fontId="2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9" fontId="4" fillId="2" borderId="2" xfId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168" fontId="4" fillId="2" borderId="0" xfId="0" applyNumberFormat="1" applyFont="1" applyFill="1" applyBorder="1" applyAlignment="1">
      <alignment horizontal="center"/>
    </xf>
    <xf numFmtId="10" fontId="4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/>
    </xf>
    <xf numFmtId="175" fontId="4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Alignment="1">
      <alignment horizontal="left"/>
    </xf>
    <xf numFmtId="3" fontId="8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10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6" fontId="8" fillId="2" borderId="0" xfId="0" applyNumberFormat="1" applyFont="1" applyFill="1"/>
    <xf numFmtId="4" fontId="8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5" fillId="2" borderId="9" xfId="0" applyFont="1" applyFill="1" applyBorder="1" applyAlignment="1">
      <alignment horizontal="right"/>
    </xf>
    <xf numFmtId="171" fontId="3" fillId="2" borderId="7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171" fontId="3" fillId="2" borderId="2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/>
    </xf>
    <xf numFmtId="10" fontId="3" fillId="2" borderId="0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8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textRotation="255"/>
    </xf>
    <xf numFmtId="164" fontId="5" fillId="2" borderId="2" xfId="0" applyNumberFormat="1" applyFont="1" applyFill="1" applyBorder="1" applyAlignment="1">
      <alignment horizontal="center"/>
    </xf>
    <xf numFmtId="168" fontId="5" fillId="2" borderId="2" xfId="0" applyNumberFormat="1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/>
    </xf>
    <xf numFmtId="172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166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170" fontId="5" fillId="2" borderId="2" xfId="1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171" fontId="5" fillId="2" borderId="2" xfId="0" applyNumberFormat="1" applyFont="1" applyFill="1" applyBorder="1" applyAlignment="1">
      <alignment horizontal="center"/>
    </xf>
    <xf numFmtId="165" fontId="5" fillId="2" borderId="13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top" wrapText="1"/>
    </xf>
    <xf numFmtId="2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top" wrapText="1"/>
    </xf>
    <xf numFmtId="3" fontId="4" fillId="2" borderId="5" xfId="0" applyNumberFormat="1" applyFont="1" applyFill="1" applyBorder="1" applyAlignment="1">
      <alignment horizontal="center" vertical="top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/>
    </xf>
    <xf numFmtId="173" fontId="4" fillId="2" borderId="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10" fontId="4" fillId="2" borderId="13" xfId="0" applyNumberFormat="1" applyFont="1" applyFill="1" applyBorder="1" applyAlignment="1">
      <alignment horizontal="center" vertical="center"/>
    </xf>
    <xf numFmtId="173" fontId="4" fillId="2" borderId="13" xfId="0" applyNumberFormat="1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/>
    </xf>
    <xf numFmtId="171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2" xfId="0" applyFont="1" applyFill="1" applyBorder="1" applyAlignment="1">
      <alignment wrapText="1"/>
    </xf>
    <xf numFmtId="171" fontId="4" fillId="2" borderId="13" xfId="0" applyNumberFormat="1" applyFont="1" applyFill="1" applyBorder="1" applyAlignment="1">
      <alignment horizontal="center"/>
    </xf>
    <xf numFmtId="4" fontId="4" fillId="2" borderId="14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horizontal="center" textRotation="255"/>
    </xf>
    <xf numFmtId="0" fontId="3" fillId="2" borderId="9" xfId="0" applyFont="1" applyFill="1" applyBorder="1" applyAlignment="1">
      <alignment horizontal="right"/>
    </xf>
    <xf numFmtId="0" fontId="3" fillId="2" borderId="15" xfId="0" applyFont="1" applyFill="1" applyBorder="1"/>
    <xf numFmtId="4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 vertical="center"/>
    </xf>
    <xf numFmtId="174" fontId="3" fillId="2" borderId="2" xfId="0" applyNumberFormat="1" applyFont="1" applyFill="1" applyBorder="1" applyAlignment="1">
      <alignment horizontal="center"/>
    </xf>
    <xf numFmtId="175" fontId="3" fillId="2" borderId="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right"/>
    </xf>
    <xf numFmtId="4" fontId="5" fillId="2" borderId="13" xfId="0" applyNumberFormat="1" applyFont="1" applyFill="1" applyBorder="1" applyAlignment="1">
      <alignment horizontal="center" vertical="center" textRotation="255"/>
    </xf>
    <xf numFmtId="164" fontId="5" fillId="2" borderId="13" xfId="0" applyNumberFormat="1" applyFont="1" applyFill="1" applyBorder="1" applyAlignment="1">
      <alignment horizontal="center"/>
    </xf>
    <xf numFmtId="168" fontId="5" fillId="2" borderId="13" xfId="0" applyNumberFormat="1" applyFont="1" applyFill="1" applyBorder="1" applyAlignment="1">
      <alignment horizontal="center"/>
    </xf>
    <xf numFmtId="10" fontId="5" fillId="2" borderId="13" xfId="0" applyNumberFormat="1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center" vertical="center"/>
    </xf>
    <xf numFmtId="166" fontId="5" fillId="2" borderId="13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170" fontId="5" fillId="2" borderId="13" xfId="1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168" fontId="5" fillId="2" borderId="13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textRotation="255"/>
    </xf>
    <xf numFmtId="164" fontId="4" fillId="2" borderId="1" xfId="0" applyNumberFormat="1" applyFont="1" applyFill="1" applyBorder="1" applyAlignment="1">
      <alignment horizontal="center"/>
    </xf>
    <xf numFmtId="168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171" fontId="4" fillId="2" borderId="1" xfId="0" applyNumberFormat="1" applyFont="1" applyFill="1" applyBorder="1" applyAlignment="1">
      <alignment horizontal="center"/>
    </xf>
    <xf numFmtId="170" fontId="4" fillId="2" borderId="1" xfId="1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top" wrapText="1"/>
    </xf>
    <xf numFmtId="4" fontId="4" fillId="2" borderId="20" xfId="0" applyNumberFormat="1" applyFont="1" applyFill="1" applyBorder="1" applyAlignment="1">
      <alignment horizontal="center" vertical="top" wrapText="1"/>
    </xf>
    <xf numFmtId="3" fontId="4" fillId="2" borderId="20" xfId="0" applyNumberFormat="1" applyFont="1" applyFill="1" applyBorder="1" applyAlignment="1">
      <alignment horizontal="center" vertical="top" wrapText="1"/>
    </xf>
    <xf numFmtId="2" fontId="4" fillId="2" borderId="22" xfId="0" applyNumberFormat="1" applyFont="1" applyFill="1" applyBorder="1" applyAlignment="1">
      <alignment horizontal="center" vertical="center" wrapText="1"/>
    </xf>
    <xf numFmtId="2" fontId="4" fillId="2" borderId="23" xfId="0" applyNumberFormat="1" applyFont="1" applyFill="1" applyBorder="1" applyAlignment="1">
      <alignment horizontal="center" vertical="center" wrapText="1"/>
    </xf>
    <xf numFmtId="2" fontId="4" fillId="2" borderId="24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4" fontId="3" fillId="2" borderId="17" xfId="0" applyNumberFormat="1" applyFont="1" applyFill="1" applyBorder="1" applyAlignment="1">
      <alignment horizontal="center" vertical="top" wrapText="1"/>
    </xf>
    <xf numFmtId="164" fontId="3" fillId="2" borderId="16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right"/>
    </xf>
    <xf numFmtId="164" fontId="4" fillId="2" borderId="17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vertical="center"/>
    </xf>
    <xf numFmtId="165" fontId="4" fillId="2" borderId="13" xfId="0" applyNumberFormat="1" applyFont="1" applyFill="1" applyBorder="1" applyAlignment="1">
      <alignment horizontal="center" vertical="center"/>
    </xf>
    <xf numFmtId="170" fontId="4" fillId="2" borderId="13" xfId="1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71" fontId="4" fillId="2" borderId="1" xfId="0" applyNumberFormat="1" applyFont="1" applyFill="1" applyBorder="1" applyAlignment="1">
      <alignment horizontal="center" vertical="center"/>
    </xf>
    <xf numFmtId="170" fontId="4" fillId="2" borderId="1" xfId="1" applyNumberFormat="1" applyFont="1" applyFill="1" applyBorder="1" applyAlignment="1">
      <alignment horizontal="center" vertical="center"/>
    </xf>
    <xf numFmtId="173" fontId="3" fillId="2" borderId="10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tabSelected="1" view="pageBreakPreview" topLeftCell="A25" zoomScale="60" zoomScaleNormal="100" workbookViewId="0">
      <selection activeCell="C60" sqref="C60"/>
    </sheetView>
  </sheetViews>
  <sheetFormatPr defaultColWidth="14.7109375" defaultRowHeight="12.75" x14ac:dyDescent="0.2"/>
  <cols>
    <col min="1" max="1" width="20.7109375" style="15" customWidth="1"/>
    <col min="2" max="2" width="4.85546875" style="15" customWidth="1"/>
    <col min="3" max="3" width="15.5703125" style="127" customWidth="1"/>
    <col min="4" max="4" width="11.85546875" style="97" customWidth="1"/>
    <col min="5" max="5" width="11.28515625" style="128" customWidth="1"/>
    <col min="6" max="7" width="13.5703125" style="129" customWidth="1"/>
    <col min="8" max="8" width="12.7109375" style="129" customWidth="1"/>
    <col min="9" max="9" width="10.5703125" style="94" customWidth="1"/>
    <col min="10" max="10" width="13.140625" style="95" customWidth="1"/>
    <col min="11" max="11" width="14.85546875" style="44" customWidth="1"/>
    <col min="12" max="12" width="10.140625" style="134" customWidth="1"/>
    <col min="13" max="13" width="18.140625" style="134" customWidth="1"/>
    <col min="14" max="14" width="14.7109375" style="134" customWidth="1"/>
    <col min="15" max="15" width="20.5703125" style="134" customWidth="1"/>
    <col min="16" max="16" width="13" style="134" customWidth="1"/>
    <col min="17" max="17" width="15" style="97" customWidth="1"/>
    <col min="18" max="18" width="15.140625" style="97" customWidth="1"/>
    <col min="19" max="19" width="15" style="134" customWidth="1"/>
    <col min="20" max="20" width="15" style="96" customWidth="1"/>
    <col min="21" max="256" width="14.7109375" style="15"/>
    <col min="257" max="257" width="20.7109375" style="15" customWidth="1"/>
    <col min="258" max="258" width="4.85546875" style="15" customWidth="1"/>
    <col min="259" max="259" width="15.5703125" style="15" customWidth="1"/>
    <col min="260" max="260" width="11.85546875" style="15" customWidth="1"/>
    <col min="261" max="261" width="11.28515625" style="15" customWidth="1"/>
    <col min="262" max="263" width="13.5703125" style="15" customWidth="1"/>
    <col min="264" max="264" width="12.7109375" style="15" customWidth="1"/>
    <col min="265" max="265" width="10.5703125" style="15" customWidth="1"/>
    <col min="266" max="266" width="13.140625" style="15" customWidth="1"/>
    <col min="267" max="267" width="14.85546875" style="15" customWidth="1"/>
    <col min="268" max="268" width="10.140625" style="15" customWidth="1"/>
    <col min="269" max="269" width="18.140625" style="15" customWidth="1"/>
    <col min="270" max="270" width="14.7109375" style="15" customWidth="1"/>
    <col min="271" max="271" width="20.5703125" style="15" customWidth="1"/>
    <col min="272" max="272" width="13" style="15" customWidth="1"/>
    <col min="273" max="273" width="15" style="15" customWidth="1"/>
    <col min="274" max="274" width="15.140625" style="15" customWidth="1"/>
    <col min="275" max="276" width="15" style="15" customWidth="1"/>
    <col min="277" max="512" width="14.7109375" style="15"/>
    <col min="513" max="513" width="20.7109375" style="15" customWidth="1"/>
    <col min="514" max="514" width="4.85546875" style="15" customWidth="1"/>
    <col min="515" max="515" width="15.5703125" style="15" customWidth="1"/>
    <col min="516" max="516" width="11.85546875" style="15" customWidth="1"/>
    <col min="517" max="517" width="11.28515625" style="15" customWidth="1"/>
    <col min="518" max="519" width="13.5703125" style="15" customWidth="1"/>
    <col min="520" max="520" width="12.7109375" style="15" customWidth="1"/>
    <col min="521" max="521" width="10.5703125" style="15" customWidth="1"/>
    <col min="522" max="522" width="13.140625" style="15" customWidth="1"/>
    <col min="523" max="523" width="14.85546875" style="15" customWidth="1"/>
    <col min="524" max="524" width="10.140625" style="15" customWidth="1"/>
    <col min="525" max="525" width="18.140625" style="15" customWidth="1"/>
    <col min="526" max="526" width="14.7109375" style="15" customWidth="1"/>
    <col min="527" max="527" width="20.5703125" style="15" customWidth="1"/>
    <col min="528" max="528" width="13" style="15" customWidth="1"/>
    <col min="529" max="529" width="15" style="15" customWidth="1"/>
    <col min="530" max="530" width="15.140625" style="15" customWidth="1"/>
    <col min="531" max="532" width="15" style="15" customWidth="1"/>
    <col min="533" max="768" width="14.7109375" style="15"/>
    <col min="769" max="769" width="20.7109375" style="15" customWidth="1"/>
    <col min="770" max="770" width="4.85546875" style="15" customWidth="1"/>
    <col min="771" max="771" width="15.5703125" style="15" customWidth="1"/>
    <col min="772" max="772" width="11.85546875" style="15" customWidth="1"/>
    <col min="773" max="773" width="11.28515625" style="15" customWidth="1"/>
    <col min="774" max="775" width="13.5703125" style="15" customWidth="1"/>
    <col min="776" max="776" width="12.7109375" style="15" customWidth="1"/>
    <col min="777" max="777" width="10.5703125" style="15" customWidth="1"/>
    <col min="778" max="778" width="13.140625" style="15" customWidth="1"/>
    <col min="779" max="779" width="14.85546875" style="15" customWidth="1"/>
    <col min="780" max="780" width="10.140625" style="15" customWidth="1"/>
    <col min="781" max="781" width="18.140625" style="15" customWidth="1"/>
    <col min="782" max="782" width="14.7109375" style="15" customWidth="1"/>
    <col min="783" max="783" width="20.5703125" style="15" customWidth="1"/>
    <col min="784" max="784" width="13" style="15" customWidth="1"/>
    <col min="785" max="785" width="15" style="15" customWidth="1"/>
    <col min="786" max="786" width="15.140625" style="15" customWidth="1"/>
    <col min="787" max="788" width="15" style="15" customWidth="1"/>
    <col min="789" max="1024" width="14.7109375" style="15"/>
    <col min="1025" max="1025" width="20.7109375" style="15" customWidth="1"/>
    <col min="1026" max="1026" width="4.85546875" style="15" customWidth="1"/>
    <col min="1027" max="1027" width="15.5703125" style="15" customWidth="1"/>
    <col min="1028" max="1028" width="11.85546875" style="15" customWidth="1"/>
    <col min="1029" max="1029" width="11.28515625" style="15" customWidth="1"/>
    <col min="1030" max="1031" width="13.5703125" style="15" customWidth="1"/>
    <col min="1032" max="1032" width="12.7109375" style="15" customWidth="1"/>
    <col min="1033" max="1033" width="10.5703125" style="15" customWidth="1"/>
    <col min="1034" max="1034" width="13.140625" style="15" customWidth="1"/>
    <col min="1035" max="1035" width="14.85546875" style="15" customWidth="1"/>
    <col min="1036" max="1036" width="10.140625" style="15" customWidth="1"/>
    <col min="1037" max="1037" width="18.140625" style="15" customWidth="1"/>
    <col min="1038" max="1038" width="14.7109375" style="15" customWidth="1"/>
    <col min="1039" max="1039" width="20.5703125" style="15" customWidth="1"/>
    <col min="1040" max="1040" width="13" style="15" customWidth="1"/>
    <col min="1041" max="1041" width="15" style="15" customWidth="1"/>
    <col min="1042" max="1042" width="15.140625" style="15" customWidth="1"/>
    <col min="1043" max="1044" width="15" style="15" customWidth="1"/>
    <col min="1045" max="1280" width="14.7109375" style="15"/>
    <col min="1281" max="1281" width="20.7109375" style="15" customWidth="1"/>
    <col min="1282" max="1282" width="4.85546875" style="15" customWidth="1"/>
    <col min="1283" max="1283" width="15.5703125" style="15" customWidth="1"/>
    <col min="1284" max="1284" width="11.85546875" style="15" customWidth="1"/>
    <col min="1285" max="1285" width="11.28515625" style="15" customWidth="1"/>
    <col min="1286" max="1287" width="13.5703125" style="15" customWidth="1"/>
    <col min="1288" max="1288" width="12.7109375" style="15" customWidth="1"/>
    <col min="1289" max="1289" width="10.5703125" style="15" customWidth="1"/>
    <col min="1290" max="1290" width="13.140625" style="15" customWidth="1"/>
    <col min="1291" max="1291" width="14.85546875" style="15" customWidth="1"/>
    <col min="1292" max="1292" width="10.140625" style="15" customWidth="1"/>
    <col min="1293" max="1293" width="18.140625" style="15" customWidth="1"/>
    <col min="1294" max="1294" width="14.7109375" style="15" customWidth="1"/>
    <col min="1295" max="1295" width="20.5703125" style="15" customWidth="1"/>
    <col min="1296" max="1296" width="13" style="15" customWidth="1"/>
    <col min="1297" max="1297" width="15" style="15" customWidth="1"/>
    <col min="1298" max="1298" width="15.140625" style="15" customWidth="1"/>
    <col min="1299" max="1300" width="15" style="15" customWidth="1"/>
    <col min="1301" max="1536" width="14.7109375" style="15"/>
    <col min="1537" max="1537" width="20.7109375" style="15" customWidth="1"/>
    <col min="1538" max="1538" width="4.85546875" style="15" customWidth="1"/>
    <col min="1539" max="1539" width="15.5703125" style="15" customWidth="1"/>
    <col min="1540" max="1540" width="11.85546875" style="15" customWidth="1"/>
    <col min="1541" max="1541" width="11.28515625" style="15" customWidth="1"/>
    <col min="1542" max="1543" width="13.5703125" style="15" customWidth="1"/>
    <col min="1544" max="1544" width="12.7109375" style="15" customWidth="1"/>
    <col min="1545" max="1545" width="10.5703125" style="15" customWidth="1"/>
    <col min="1546" max="1546" width="13.140625" style="15" customWidth="1"/>
    <col min="1547" max="1547" width="14.85546875" style="15" customWidth="1"/>
    <col min="1548" max="1548" width="10.140625" style="15" customWidth="1"/>
    <col min="1549" max="1549" width="18.140625" style="15" customWidth="1"/>
    <col min="1550" max="1550" width="14.7109375" style="15" customWidth="1"/>
    <col min="1551" max="1551" width="20.5703125" style="15" customWidth="1"/>
    <col min="1552" max="1552" width="13" style="15" customWidth="1"/>
    <col min="1553" max="1553" width="15" style="15" customWidth="1"/>
    <col min="1554" max="1554" width="15.140625" style="15" customWidth="1"/>
    <col min="1555" max="1556" width="15" style="15" customWidth="1"/>
    <col min="1557" max="1792" width="14.7109375" style="15"/>
    <col min="1793" max="1793" width="20.7109375" style="15" customWidth="1"/>
    <col min="1794" max="1794" width="4.85546875" style="15" customWidth="1"/>
    <col min="1795" max="1795" width="15.5703125" style="15" customWidth="1"/>
    <col min="1796" max="1796" width="11.85546875" style="15" customWidth="1"/>
    <col min="1797" max="1797" width="11.28515625" style="15" customWidth="1"/>
    <col min="1798" max="1799" width="13.5703125" style="15" customWidth="1"/>
    <col min="1800" max="1800" width="12.7109375" style="15" customWidth="1"/>
    <col min="1801" max="1801" width="10.5703125" style="15" customWidth="1"/>
    <col min="1802" max="1802" width="13.140625" style="15" customWidth="1"/>
    <col min="1803" max="1803" width="14.85546875" style="15" customWidth="1"/>
    <col min="1804" max="1804" width="10.140625" style="15" customWidth="1"/>
    <col min="1805" max="1805" width="18.140625" style="15" customWidth="1"/>
    <col min="1806" max="1806" width="14.7109375" style="15" customWidth="1"/>
    <col min="1807" max="1807" width="20.5703125" style="15" customWidth="1"/>
    <col min="1808" max="1808" width="13" style="15" customWidth="1"/>
    <col min="1809" max="1809" width="15" style="15" customWidth="1"/>
    <col min="1810" max="1810" width="15.140625" style="15" customWidth="1"/>
    <col min="1811" max="1812" width="15" style="15" customWidth="1"/>
    <col min="1813" max="2048" width="14.7109375" style="15"/>
    <col min="2049" max="2049" width="20.7109375" style="15" customWidth="1"/>
    <col min="2050" max="2050" width="4.85546875" style="15" customWidth="1"/>
    <col min="2051" max="2051" width="15.5703125" style="15" customWidth="1"/>
    <col min="2052" max="2052" width="11.85546875" style="15" customWidth="1"/>
    <col min="2053" max="2053" width="11.28515625" style="15" customWidth="1"/>
    <col min="2054" max="2055" width="13.5703125" style="15" customWidth="1"/>
    <col min="2056" max="2056" width="12.7109375" style="15" customWidth="1"/>
    <col min="2057" max="2057" width="10.5703125" style="15" customWidth="1"/>
    <col min="2058" max="2058" width="13.140625" style="15" customWidth="1"/>
    <col min="2059" max="2059" width="14.85546875" style="15" customWidth="1"/>
    <col min="2060" max="2060" width="10.140625" style="15" customWidth="1"/>
    <col min="2061" max="2061" width="18.140625" style="15" customWidth="1"/>
    <col min="2062" max="2062" width="14.7109375" style="15" customWidth="1"/>
    <col min="2063" max="2063" width="20.5703125" style="15" customWidth="1"/>
    <col min="2064" max="2064" width="13" style="15" customWidth="1"/>
    <col min="2065" max="2065" width="15" style="15" customWidth="1"/>
    <col min="2066" max="2066" width="15.140625" style="15" customWidth="1"/>
    <col min="2067" max="2068" width="15" style="15" customWidth="1"/>
    <col min="2069" max="2304" width="14.7109375" style="15"/>
    <col min="2305" max="2305" width="20.7109375" style="15" customWidth="1"/>
    <col min="2306" max="2306" width="4.85546875" style="15" customWidth="1"/>
    <col min="2307" max="2307" width="15.5703125" style="15" customWidth="1"/>
    <col min="2308" max="2308" width="11.85546875" style="15" customWidth="1"/>
    <col min="2309" max="2309" width="11.28515625" style="15" customWidth="1"/>
    <col min="2310" max="2311" width="13.5703125" style="15" customWidth="1"/>
    <col min="2312" max="2312" width="12.7109375" style="15" customWidth="1"/>
    <col min="2313" max="2313" width="10.5703125" style="15" customWidth="1"/>
    <col min="2314" max="2314" width="13.140625" style="15" customWidth="1"/>
    <col min="2315" max="2315" width="14.85546875" style="15" customWidth="1"/>
    <col min="2316" max="2316" width="10.140625" style="15" customWidth="1"/>
    <col min="2317" max="2317" width="18.140625" style="15" customWidth="1"/>
    <col min="2318" max="2318" width="14.7109375" style="15" customWidth="1"/>
    <col min="2319" max="2319" width="20.5703125" style="15" customWidth="1"/>
    <col min="2320" max="2320" width="13" style="15" customWidth="1"/>
    <col min="2321" max="2321" width="15" style="15" customWidth="1"/>
    <col min="2322" max="2322" width="15.140625" style="15" customWidth="1"/>
    <col min="2323" max="2324" width="15" style="15" customWidth="1"/>
    <col min="2325" max="2560" width="14.7109375" style="15"/>
    <col min="2561" max="2561" width="20.7109375" style="15" customWidth="1"/>
    <col min="2562" max="2562" width="4.85546875" style="15" customWidth="1"/>
    <col min="2563" max="2563" width="15.5703125" style="15" customWidth="1"/>
    <col min="2564" max="2564" width="11.85546875" style="15" customWidth="1"/>
    <col min="2565" max="2565" width="11.28515625" style="15" customWidth="1"/>
    <col min="2566" max="2567" width="13.5703125" style="15" customWidth="1"/>
    <col min="2568" max="2568" width="12.7109375" style="15" customWidth="1"/>
    <col min="2569" max="2569" width="10.5703125" style="15" customWidth="1"/>
    <col min="2570" max="2570" width="13.140625" style="15" customWidth="1"/>
    <col min="2571" max="2571" width="14.85546875" style="15" customWidth="1"/>
    <col min="2572" max="2572" width="10.140625" style="15" customWidth="1"/>
    <col min="2573" max="2573" width="18.140625" style="15" customWidth="1"/>
    <col min="2574" max="2574" width="14.7109375" style="15" customWidth="1"/>
    <col min="2575" max="2575" width="20.5703125" style="15" customWidth="1"/>
    <col min="2576" max="2576" width="13" style="15" customWidth="1"/>
    <col min="2577" max="2577" width="15" style="15" customWidth="1"/>
    <col min="2578" max="2578" width="15.140625" style="15" customWidth="1"/>
    <col min="2579" max="2580" width="15" style="15" customWidth="1"/>
    <col min="2581" max="2816" width="14.7109375" style="15"/>
    <col min="2817" max="2817" width="20.7109375" style="15" customWidth="1"/>
    <col min="2818" max="2818" width="4.85546875" style="15" customWidth="1"/>
    <col min="2819" max="2819" width="15.5703125" style="15" customWidth="1"/>
    <col min="2820" max="2820" width="11.85546875" style="15" customWidth="1"/>
    <col min="2821" max="2821" width="11.28515625" style="15" customWidth="1"/>
    <col min="2822" max="2823" width="13.5703125" style="15" customWidth="1"/>
    <col min="2824" max="2824" width="12.7109375" style="15" customWidth="1"/>
    <col min="2825" max="2825" width="10.5703125" style="15" customWidth="1"/>
    <col min="2826" max="2826" width="13.140625" style="15" customWidth="1"/>
    <col min="2827" max="2827" width="14.85546875" style="15" customWidth="1"/>
    <col min="2828" max="2828" width="10.140625" style="15" customWidth="1"/>
    <col min="2829" max="2829" width="18.140625" style="15" customWidth="1"/>
    <col min="2830" max="2830" width="14.7109375" style="15" customWidth="1"/>
    <col min="2831" max="2831" width="20.5703125" style="15" customWidth="1"/>
    <col min="2832" max="2832" width="13" style="15" customWidth="1"/>
    <col min="2833" max="2833" width="15" style="15" customWidth="1"/>
    <col min="2834" max="2834" width="15.140625" style="15" customWidth="1"/>
    <col min="2835" max="2836" width="15" style="15" customWidth="1"/>
    <col min="2837" max="3072" width="14.7109375" style="15"/>
    <col min="3073" max="3073" width="20.7109375" style="15" customWidth="1"/>
    <col min="3074" max="3074" width="4.85546875" style="15" customWidth="1"/>
    <col min="3075" max="3075" width="15.5703125" style="15" customWidth="1"/>
    <col min="3076" max="3076" width="11.85546875" style="15" customWidth="1"/>
    <col min="3077" max="3077" width="11.28515625" style="15" customWidth="1"/>
    <col min="3078" max="3079" width="13.5703125" style="15" customWidth="1"/>
    <col min="3080" max="3080" width="12.7109375" style="15" customWidth="1"/>
    <col min="3081" max="3081" width="10.5703125" style="15" customWidth="1"/>
    <col min="3082" max="3082" width="13.140625" style="15" customWidth="1"/>
    <col min="3083" max="3083" width="14.85546875" style="15" customWidth="1"/>
    <col min="3084" max="3084" width="10.140625" style="15" customWidth="1"/>
    <col min="3085" max="3085" width="18.140625" style="15" customWidth="1"/>
    <col min="3086" max="3086" width="14.7109375" style="15" customWidth="1"/>
    <col min="3087" max="3087" width="20.5703125" style="15" customWidth="1"/>
    <col min="3088" max="3088" width="13" style="15" customWidth="1"/>
    <col min="3089" max="3089" width="15" style="15" customWidth="1"/>
    <col min="3090" max="3090" width="15.140625" style="15" customWidth="1"/>
    <col min="3091" max="3092" width="15" style="15" customWidth="1"/>
    <col min="3093" max="3328" width="14.7109375" style="15"/>
    <col min="3329" max="3329" width="20.7109375" style="15" customWidth="1"/>
    <col min="3330" max="3330" width="4.85546875" style="15" customWidth="1"/>
    <col min="3331" max="3331" width="15.5703125" style="15" customWidth="1"/>
    <col min="3332" max="3332" width="11.85546875" style="15" customWidth="1"/>
    <col min="3333" max="3333" width="11.28515625" style="15" customWidth="1"/>
    <col min="3334" max="3335" width="13.5703125" style="15" customWidth="1"/>
    <col min="3336" max="3336" width="12.7109375" style="15" customWidth="1"/>
    <col min="3337" max="3337" width="10.5703125" style="15" customWidth="1"/>
    <col min="3338" max="3338" width="13.140625" style="15" customWidth="1"/>
    <col min="3339" max="3339" width="14.85546875" style="15" customWidth="1"/>
    <col min="3340" max="3340" width="10.140625" style="15" customWidth="1"/>
    <col min="3341" max="3341" width="18.140625" style="15" customWidth="1"/>
    <col min="3342" max="3342" width="14.7109375" style="15" customWidth="1"/>
    <col min="3343" max="3343" width="20.5703125" style="15" customWidth="1"/>
    <col min="3344" max="3344" width="13" style="15" customWidth="1"/>
    <col min="3345" max="3345" width="15" style="15" customWidth="1"/>
    <col min="3346" max="3346" width="15.140625" style="15" customWidth="1"/>
    <col min="3347" max="3348" width="15" style="15" customWidth="1"/>
    <col min="3349" max="3584" width="14.7109375" style="15"/>
    <col min="3585" max="3585" width="20.7109375" style="15" customWidth="1"/>
    <col min="3586" max="3586" width="4.85546875" style="15" customWidth="1"/>
    <col min="3587" max="3587" width="15.5703125" style="15" customWidth="1"/>
    <col min="3588" max="3588" width="11.85546875" style="15" customWidth="1"/>
    <col min="3589" max="3589" width="11.28515625" style="15" customWidth="1"/>
    <col min="3590" max="3591" width="13.5703125" style="15" customWidth="1"/>
    <col min="3592" max="3592" width="12.7109375" style="15" customWidth="1"/>
    <col min="3593" max="3593" width="10.5703125" style="15" customWidth="1"/>
    <col min="3594" max="3594" width="13.140625" style="15" customWidth="1"/>
    <col min="3595" max="3595" width="14.85546875" style="15" customWidth="1"/>
    <col min="3596" max="3596" width="10.140625" style="15" customWidth="1"/>
    <col min="3597" max="3597" width="18.140625" style="15" customWidth="1"/>
    <col min="3598" max="3598" width="14.7109375" style="15" customWidth="1"/>
    <col min="3599" max="3599" width="20.5703125" style="15" customWidth="1"/>
    <col min="3600" max="3600" width="13" style="15" customWidth="1"/>
    <col min="3601" max="3601" width="15" style="15" customWidth="1"/>
    <col min="3602" max="3602" width="15.140625" style="15" customWidth="1"/>
    <col min="3603" max="3604" width="15" style="15" customWidth="1"/>
    <col min="3605" max="3840" width="14.7109375" style="15"/>
    <col min="3841" max="3841" width="20.7109375" style="15" customWidth="1"/>
    <col min="3842" max="3842" width="4.85546875" style="15" customWidth="1"/>
    <col min="3843" max="3843" width="15.5703125" style="15" customWidth="1"/>
    <col min="3844" max="3844" width="11.85546875" style="15" customWidth="1"/>
    <col min="3845" max="3845" width="11.28515625" style="15" customWidth="1"/>
    <col min="3846" max="3847" width="13.5703125" style="15" customWidth="1"/>
    <col min="3848" max="3848" width="12.7109375" style="15" customWidth="1"/>
    <col min="3849" max="3849" width="10.5703125" style="15" customWidth="1"/>
    <col min="3850" max="3850" width="13.140625" style="15" customWidth="1"/>
    <col min="3851" max="3851" width="14.85546875" style="15" customWidth="1"/>
    <col min="3852" max="3852" width="10.140625" style="15" customWidth="1"/>
    <col min="3853" max="3853" width="18.140625" style="15" customWidth="1"/>
    <col min="3854" max="3854" width="14.7109375" style="15" customWidth="1"/>
    <col min="3855" max="3855" width="20.5703125" style="15" customWidth="1"/>
    <col min="3856" max="3856" width="13" style="15" customWidth="1"/>
    <col min="3857" max="3857" width="15" style="15" customWidth="1"/>
    <col min="3858" max="3858" width="15.140625" style="15" customWidth="1"/>
    <col min="3859" max="3860" width="15" style="15" customWidth="1"/>
    <col min="3861" max="4096" width="14.7109375" style="15"/>
    <col min="4097" max="4097" width="20.7109375" style="15" customWidth="1"/>
    <col min="4098" max="4098" width="4.85546875" style="15" customWidth="1"/>
    <col min="4099" max="4099" width="15.5703125" style="15" customWidth="1"/>
    <col min="4100" max="4100" width="11.85546875" style="15" customWidth="1"/>
    <col min="4101" max="4101" width="11.28515625" style="15" customWidth="1"/>
    <col min="4102" max="4103" width="13.5703125" style="15" customWidth="1"/>
    <col min="4104" max="4104" width="12.7109375" style="15" customWidth="1"/>
    <col min="4105" max="4105" width="10.5703125" style="15" customWidth="1"/>
    <col min="4106" max="4106" width="13.140625" style="15" customWidth="1"/>
    <col min="4107" max="4107" width="14.85546875" style="15" customWidth="1"/>
    <col min="4108" max="4108" width="10.140625" style="15" customWidth="1"/>
    <col min="4109" max="4109" width="18.140625" style="15" customWidth="1"/>
    <col min="4110" max="4110" width="14.7109375" style="15" customWidth="1"/>
    <col min="4111" max="4111" width="20.5703125" style="15" customWidth="1"/>
    <col min="4112" max="4112" width="13" style="15" customWidth="1"/>
    <col min="4113" max="4113" width="15" style="15" customWidth="1"/>
    <col min="4114" max="4114" width="15.140625" style="15" customWidth="1"/>
    <col min="4115" max="4116" width="15" style="15" customWidth="1"/>
    <col min="4117" max="4352" width="14.7109375" style="15"/>
    <col min="4353" max="4353" width="20.7109375" style="15" customWidth="1"/>
    <col min="4354" max="4354" width="4.85546875" style="15" customWidth="1"/>
    <col min="4355" max="4355" width="15.5703125" style="15" customWidth="1"/>
    <col min="4356" max="4356" width="11.85546875" style="15" customWidth="1"/>
    <col min="4357" max="4357" width="11.28515625" style="15" customWidth="1"/>
    <col min="4358" max="4359" width="13.5703125" style="15" customWidth="1"/>
    <col min="4360" max="4360" width="12.7109375" style="15" customWidth="1"/>
    <col min="4361" max="4361" width="10.5703125" style="15" customWidth="1"/>
    <col min="4362" max="4362" width="13.140625" style="15" customWidth="1"/>
    <col min="4363" max="4363" width="14.85546875" style="15" customWidth="1"/>
    <col min="4364" max="4364" width="10.140625" style="15" customWidth="1"/>
    <col min="4365" max="4365" width="18.140625" style="15" customWidth="1"/>
    <col min="4366" max="4366" width="14.7109375" style="15" customWidth="1"/>
    <col min="4367" max="4367" width="20.5703125" style="15" customWidth="1"/>
    <col min="4368" max="4368" width="13" style="15" customWidth="1"/>
    <col min="4369" max="4369" width="15" style="15" customWidth="1"/>
    <col min="4370" max="4370" width="15.140625" style="15" customWidth="1"/>
    <col min="4371" max="4372" width="15" style="15" customWidth="1"/>
    <col min="4373" max="4608" width="14.7109375" style="15"/>
    <col min="4609" max="4609" width="20.7109375" style="15" customWidth="1"/>
    <col min="4610" max="4610" width="4.85546875" style="15" customWidth="1"/>
    <col min="4611" max="4611" width="15.5703125" style="15" customWidth="1"/>
    <col min="4612" max="4612" width="11.85546875" style="15" customWidth="1"/>
    <col min="4613" max="4613" width="11.28515625" style="15" customWidth="1"/>
    <col min="4614" max="4615" width="13.5703125" style="15" customWidth="1"/>
    <col min="4616" max="4616" width="12.7109375" style="15" customWidth="1"/>
    <col min="4617" max="4617" width="10.5703125" style="15" customWidth="1"/>
    <col min="4618" max="4618" width="13.140625" style="15" customWidth="1"/>
    <col min="4619" max="4619" width="14.85546875" style="15" customWidth="1"/>
    <col min="4620" max="4620" width="10.140625" style="15" customWidth="1"/>
    <col min="4621" max="4621" width="18.140625" style="15" customWidth="1"/>
    <col min="4622" max="4622" width="14.7109375" style="15" customWidth="1"/>
    <col min="4623" max="4623" width="20.5703125" style="15" customWidth="1"/>
    <col min="4624" max="4624" width="13" style="15" customWidth="1"/>
    <col min="4625" max="4625" width="15" style="15" customWidth="1"/>
    <col min="4626" max="4626" width="15.140625" style="15" customWidth="1"/>
    <col min="4627" max="4628" width="15" style="15" customWidth="1"/>
    <col min="4629" max="4864" width="14.7109375" style="15"/>
    <col min="4865" max="4865" width="20.7109375" style="15" customWidth="1"/>
    <col min="4866" max="4866" width="4.85546875" style="15" customWidth="1"/>
    <col min="4867" max="4867" width="15.5703125" style="15" customWidth="1"/>
    <col min="4868" max="4868" width="11.85546875" style="15" customWidth="1"/>
    <col min="4869" max="4869" width="11.28515625" style="15" customWidth="1"/>
    <col min="4870" max="4871" width="13.5703125" style="15" customWidth="1"/>
    <col min="4872" max="4872" width="12.7109375" style="15" customWidth="1"/>
    <col min="4873" max="4873" width="10.5703125" style="15" customWidth="1"/>
    <col min="4874" max="4874" width="13.140625" style="15" customWidth="1"/>
    <col min="4875" max="4875" width="14.85546875" style="15" customWidth="1"/>
    <col min="4876" max="4876" width="10.140625" style="15" customWidth="1"/>
    <col min="4877" max="4877" width="18.140625" style="15" customWidth="1"/>
    <col min="4878" max="4878" width="14.7109375" style="15" customWidth="1"/>
    <col min="4879" max="4879" width="20.5703125" style="15" customWidth="1"/>
    <col min="4880" max="4880" width="13" style="15" customWidth="1"/>
    <col min="4881" max="4881" width="15" style="15" customWidth="1"/>
    <col min="4882" max="4882" width="15.140625" style="15" customWidth="1"/>
    <col min="4883" max="4884" width="15" style="15" customWidth="1"/>
    <col min="4885" max="5120" width="14.7109375" style="15"/>
    <col min="5121" max="5121" width="20.7109375" style="15" customWidth="1"/>
    <col min="5122" max="5122" width="4.85546875" style="15" customWidth="1"/>
    <col min="5123" max="5123" width="15.5703125" style="15" customWidth="1"/>
    <col min="5124" max="5124" width="11.85546875" style="15" customWidth="1"/>
    <col min="5125" max="5125" width="11.28515625" style="15" customWidth="1"/>
    <col min="5126" max="5127" width="13.5703125" style="15" customWidth="1"/>
    <col min="5128" max="5128" width="12.7109375" style="15" customWidth="1"/>
    <col min="5129" max="5129" width="10.5703125" style="15" customWidth="1"/>
    <col min="5130" max="5130" width="13.140625" style="15" customWidth="1"/>
    <col min="5131" max="5131" width="14.85546875" style="15" customWidth="1"/>
    <col min="5132" max="5132" width="10.140625" style="15" customWidth="1"/>
    <col min="5133" max="5133" width="18.140625" style="15" customWidth="1"/>
    <col min="5134" max="5134" width="14.7109375" style="15" customWidth="1"/>
    <col min="5135" max="5135" width="20.5703125" style="15" customWidth="1"/>
    <col min="5136" max="5136" width="13" style="15" customWidth="1"/>
    <col min="5137" max="5137" width="15" style="15" customWidth="1"/>
    <col min="5138" max="5138" width="15.140625" style="15" customWidth="1"/>
    <col min="5139" max="5140" width="15" style="15" customWidth="1"/>
    <col min="5141" max="5376" width="14.7109375" style="15"/>
    <col min="5377" max="5377" width="20.7109375" style="15" customWidth="1"/>
    <col min="5378" max="5378" width="4.85546875" style="15" customWidth="1"/>
    <col min="5379" max="5379" width="15.5703125" style="15" customWidth="1"/>
    <col min="5380" max="5380" width="11.85546875" style="15" customWidth="1"/>
    <col min="5381" max="5381" width="11.28515625" style="15" customWidth="1"/>
    <col min="5382" max="5383" width="13.5703125" style="15" customWidth="1"/>
    <col min="5384" max="5384" width="12.7109375" style="15" customWidth="1"/>
    <col min="5385" max="5385" width="10.5703125" style="15" customWidth="1"/>
    <col min="5386" max="5386" width="13.140625" style="15" customWidth="1"/>
    <col min="5387" max="5387" width="14.85546875" style="15" customWidth="1"/>
    <col min="5388" max="5388" width="10.140625" style="15" customWidth="1"/>
    <col min="5389" max="5389" width="18.140625" style="15" customWidth="1"/>
    <col min="5390" max="5390" width="14.7109375" style="15" customWidth="1"/>
    <col min="5391" max="5391" width="20.5703125" style="15" customWidth="1"/>
    <col min="5392" max="5392" width="13" style="15" customWidth="1"/>
    <col min="5393" max="5393" width="15" style="15" customWidth="1"/>
    <col min="5394" max="5394" width="15.140625" style="15" customWidth="1"/>
    <col min="5395" max="5396" width="15" style="15" customWidth="1"/>
    <col min="5397" max="5632" width="14.7109375" style="15"/>
    <col min="5633" max="5633" width="20.7109375" style="15" customWidth="1"/>
    <col min="5634" max="5634" width="4.85546875" style="15" customWidth="1"/>
    <col min="5635" max="5635" width="15.5703125" style="15" customWidth="1"/>
    <col min="5636" max="5636" width="11.85546875" style="15" customWidth="1"/>
    <col min="5637" max="5637" width="11.28515625" style="15" customWidth="1"/>
    <col min="5638" max="5639" width="13.5703125" style="15" customWidth="1"/>
    <col min="5640" max="5640" width="12.7109375" style="15" customWidth="1"/>
    <col min="5641" max="5641" width="10.5703125" style="15" customWidth="1"/>
    <col min="5642" max="5642" width="13.140625" style="15" customWidth="1"/>
    <col min="5643" max="5643" width="14.85546875" style="15" customWidth="1"/>
    <col min="5644" max="5644" width="10.140625" style="15" customWidth="1"/>
    <col min="5645" max="5645" width="18.140625" style="15" customWidth="1"/>
    <col min="5646" max="5646" width="14.7109375" style="15" customWidth="1"/>
    <col min="5647" max="5647" width="20.5703125" style="15" customWidth="1"/>
    <col min="5648" max="5648" width="13" style="15" customWidth="1"/>
    <col min="5649" max="5649" width="15" style="15" customWidth="1"/>
    <col min="5650" max="5650" width="15.140625" style="15" customWidth="1"/>
    <col min="5651" max="5652" width="15" style="15" customWidth="1"/>
    <col min="5653" max="5888" width="14.7109375" style="15"/>
    <col min="5889" max="5889" width="20.7109375" style="15" customWidth="1"/>
    <col min="5890" max="5890" width="4.85546875" style="15" customWidth="1"/>
    <col min="5891" max="5891" width="15.5703125" style="15" customWidth="1"/>
    <col min="5892" max="5892" width="11.85546875" style="15" customWidth="1"/>
    <col min="5893" max="5893" width="11.28515625" style="15" customWidth="1"/>
    <col min="5894" max="5895" width="13.5703125" style="15" customWidth="1"/>
    <col min="5896" max="5896" width="12.7109375" style="15" customWidth="1"/>
    <col min="5897" max="5897" width="10.5703125" style="15" customWidth="1"/>
    <col min="5898" max="5898" width="13.140625" style="15" customWidth="1"/>
    <col min="5899" max="5899" width="14.85546875" style="15" customWidth="1"/>
    <col min="5900" max="5900" width="10.140625" style="15" customWidth="1"/>
    <col min="5901" max="5901" width="18.140625" style="15" customWidth="1"/>
    <col min="5902" max="5902" width="14.7109375" style="15" customWidth="1"/>
    <col min="5903" max="5903" width="20.5703125" style="15" customWidth="1"/>
    <col min="5904" max="5904" width="13" style="15" customWidth="1"/>
    <col min="5905" max="5905" width="15" style="15" customWidth="1"/>
    <col min="5906" max="5906" width="15.140625" style="15" customWidth="1"/>
    <col min="5907" max="5908" width="15" style="15" customWidth="1"/>
    <col min="5909" max="6144" width="14.7109375" style="15"/>
    <col min="6145" max="6145" width="20.7109375" style="15" customWidth="1"/>
    <col min="6146" max="6146" width="4.85546875" style="15" customWidth="1"/>
    <col min="6147" max="6147" width="15.5703125" style="15" customWidth="1"/>
    <col min="6148" max="6148" width="11.85546875" style="15" customWidth="1"/>
    <col min="6149" max="6149" width="11.28515625" style="15" customWidth="1"/>
    <col min="6150" max="6151" width="13.5703125" style="15" customWidth="1"/>
    <col min="6152" max="6152" width="12.7109375" style="15" customWidth="1"/>
    <col min="6153" max="6153" width="10.5703125" style="15" customWidth="1"/>
    <col min="6154" max="6154" width="13.140625" style="15" customWidth="1"/>
    <col min="6155" max="6155" width="14.85546875" style="15" customWidth="1"/>
    <col min="6156" max="6156" width="10.140625" style="15" customWidth="1"/>
    <col min="6157" max="6157" width="18.140625" style="15" customWidth="1"/>
    <col min="6158" max="6158" width="14.7109375" style="15" customWidth="1"/>
    <col min="6159" max="6159" width="20.5703125" style="15" customWidth="1"/>
    <col min="6160" max="6160" width="13" style="15" customWidth="1"/>
    <col min="6161" max="6161" width="15" style="15" customWidth="1"/>
    <col min="6162" max="6162" width="15.140625" style="15" customWidth="1"/>
    <col min="6163" max="6164" width="15" style="15" customWidth="1"/>
    <col min="6165" max="6400" width="14.7109375" style="15"/>
    <col min="6401" max="6401" width="20.7109375" style="15" customWidth="1"/>
    <col min="6402" max="6402" width="4.85546875" style="15" customWidth="1"/>
    <col min="6403" max="6403" width="15.5703125" style="15" customWidth="1"/>
    <col min="6404" max="6404" width="11.85546875" style="15" customWidth="1"/>
    <col min="6405" max="6405" width="11.28515625" style="15" customWidth="1"/>
    <col min="6406" max="6407" width="13.5703125" style="15" customWidth="1"/>
    <col min="6408" max="6408" width="12.7109375" style="15" customWidth="1"/>
    <col min="6409" max="6409" width="10.5703125" style="15" customWidth="1"/>
    <col min="6410" max="6410" width="13.140625" style="15" customWidth="1"/>
    <col min="6411" max="6411" width="14.85546875" style="15" customWidth="1"/>
    <col min="6412" max="6412" width="10.140625" style="15" customWidth="1"/>
    <col min="6413" max="6413" width="18.140625" style="15" customWidth="1"/>
    <col min="6414" max="6414" width="14.7109375" style="15" customWidth="1"/>
    <col min="6415" max="6415" width="20.5703125" style="15" customWidth="1"/>
    <col min="6416" max="6416" width="13" style="15" customWidth="1"/>
    <col min="6417" max="6417" width="15" style="15" customWidth="1"/>
    <col min="6418" max="6418" width="15.140625" style="15" customWidth="1"/>
    <col min="6419" max="6420" width="15" style="15" customWidth="1"/>
    <col min="6421" max="6656" width="14.7109375" style="15"/>
    <col min="6657" max="6657" width="20.7109375" style="15" customWidth="1"/>
    <col min="6658" max="6658" width="4.85546875" style="15" customWidth="1"/>
    <col min="6659" max="6659" width="15.5703125" style="15" customWidth="1"/>
    <col min="6660" max="6660" width="11.85546875" style="15" customWidth="1"/>
    <col min="6661" max="6661" width="11.28515625" style="15" customWidth="1"/>
    <col min="6662" max="6663" width="13.5703125" style="15" customWidth="1"/>
    <col min="6664" max="6664" width="12.7109375" style="15" customWidth="1"/>
    <col min="6665" max="6665" width="10.5703125" style="15" customWidth="1"/>
    <col min="6666" max="6666" width="13.140625" style="15" customWidth="1"/>
    <col min="6667" max="6667" width="14.85546875" style="15" customWidth="1"/>
    <col min="6668" max="6668" width="10.140625" style="15" customWidth="1"/>
    <col min="6669" max="6669" width="18.140625" style="15" customWidth="1"/>
    <col min="6670" max="6670" width="14.7109375" style="15" customWidth="1"/>
    <col min="6671" max="6671" width="20.5703125" style="15" customWidth="1"/>
    <col min="6672" max="6672" width="13" style="15" customWidth="1"/>
    <col min="6673" max="6673" width="15" style="15" customWidth="1"/>
    <col min="6674" max="6674" width="15.140625" style="15" customWidth="1"/>
    <col min="6675" max="6676" width="15" style="15" customWidth="1"/>
    <col min="6677" max="6912" width="14.7109375" style="15"/>
    <col min="6913" max="6913" width="20.7109375" style="15" customWidth="1"/>
    <col min="6914" max="6914" width="4.85546875" style="15" customWidth="1"/>
    <col min="6915" max="6915" width="15.5703125" style="15" customWidth="1"/>
    <col min="6916" max="6916" width="11.85546875" style="15" customWidth="1"/>
    <col min="6917" max="6917" width="11.28515625" style="15" customWidth="1"/>
    <col min="6918" max="6919" width="13.5703125" style="15" customWidth="1"/>
    <col min="6920" max="6920" width="12.7109375" style="15" customWidth="1"/>
    <col min="6921" max="6921" width="10.5703125" style="15" customWidth="1"/>
    <col min="6922" max="6922" width="13.140625" style="15" customWidth="1"/>
    <col min="6923" max="6923" width="14.85546875" style="15" customWidth="1"/>
    <col min="6924" max="6924" width="10.140625" style="15" customWidth="1"/>
    <col min="6925" max="6925" width="18.140625" style="15" customWidth="1"/>
    <col min="6926" max="6926" width="14.7109375" style="15" customWidth="1"/>
    <col min="6927" max="6927" width="20.5703125" style="15" customWidth="1"/>
    <col min="6928" max="6928" width="13" style="15" customWidth="1"/>
    <col min="6929" max="6929" width="15" style="15" customWidth="1"/>
    <col min="6930" max="6930" width="15.140625" style="15" customWidth="1"/>
    <col min="6931" max="6932" width="15" style="15" customWidth="1"/>
    <col min="6933" max="7168" width="14.7109375" style="15"/>
    <col min="7169" max="7169" width="20.7109375" style="15" customWidth="1"/>
    <col min="7170" max="7170" width="4.85546875" style="15" customWidth="1"/>
    <col min="7171" max="7171" width="15.5703125" style="15" customWidth="1"/>
    <col min="7172" max="7172" width="11.85546875" style="15" customWidth="1"/>
    <col min="7173" max="7173" width="11.28515625" style="15" customWidth="1"/>
    <col min="7174" max="7175" width="13.5703125" style="15" customWidth="1"/>
    <col min="7176" max="7176" width="12.7109375" style="15" customWidth="1"/>
    <col min="7177" max="7177" width="10.5703125" style="15" customWidth="1"/>
    <col min="7178" max="7178" width="13.140625" style="15" customWidth="1"/>
    <col min="7179" max="7179" width="14.85546875" style="15" customWidth="1"/>
    <col min="7180" max="7180" width="10.140625" style="15" customWidth="1"/>
    <col min="7181" max="7181" width="18.140625" style="15" customWidth="1"/>
    <col min="7182" max="7182" width="14.7109375" style="15" customWidth="1"/>
    <col min="7183" max="7183" width="20.5703125" style="15" customWidth="1"/>
    <col min="7184" max="7184" width="13" style="15" customWidth="1"/>
    <col min="7185" max="7185" width="15" style="15" customWidth="1"/>
    <col min="7186" max="7186" width="15.140625" style="15" customWidth="1"/>
    <col min="7187" max="7188" width="15" style="15" customWidth="1"/>
    <col min="7189" max="7424" width="14.7109375" style="15"/>
    <col min="7425" max="7425" width="20.7109375" style="15" customWidth="1"/>
    <col min="7426" max="7426" width="4.85546875" style="15" customWidth="1"/>
    <col min="7427" max="7427" width="15.5703125" style="15" customWidth="1"/>
    <col min="7428" max="7428" width="11.85546875" style="15" customWidth="1"/>
    <col min="7429" max="7429" width="11.28515625" style="15" customWidth="1"/>
    <col min="7430" max="7431" width="13.5703125" style="15" customWidth="1"/>
    <col min="7432" max="7432" width="12.7109375" style="15" customWidth="1"/>
    <col min="7433" max="7433" width="10.5703125" style="15" customWidth="1"/>
    <col min="7434" max="7434" width="13.140625" style="15" customWidth="1"/>
    <col min="7435" max="7435" width="14.85546875" style="15" customWidth="1"/>
    <col min="7436" max="7436" width="10.140625" style="15" customWidth="1"/>
    <col min="7437" max="7437" width="18.140625" style="15" customWidth="1"/>
    <col min="7438" max="7438" width="14.7109375" style="15" customWidth="1"/>
    <col min="7439" max="7439" width="20.5703125" style="15" customWidth="1"/>
    <col min="7440" max="7440" width="13" style="15" customWidth="1"/>
    <col min="7441" max="7441" width="15" style="15" customWidth="1"/>
    <col min="7442" max="7442" width="15.140625" style="15" customWidth="1"/>
    <col min="7443" max="7444" width="15" style="15" customWidth="1"/>
    <col min="7445" max="7680" width="14.7109375" style="15"/>
    <col min="7681" max="7681" width="20.7109375" style="15" customWidth="1"/>
    <col min="7682" max="7682" width="4.85546875" style="15" customWidth="1"/>
    <col min="7683" max="7683" width="15.5703125" style="15" customWidth="1"/>
    <col min="7684" max="7684" width="11.85546875" style="15" customWidth="1"/>
    <col min="7685" max="7685" width="11.28515625" style="15" customWidth="1"/>
    <col min="7686" max="7687" width="13.5703125" style="15" customWidth="1"/>
    <col min="7688" max="7688" width="12.7109375" style="15" customWidth="1"/>
    <col min="7689" max="7689" width="10.5703125" style="15" customWidth="1"/>
    <col min="7690" max="7690" width="13.140625" style="15" customWidth="1"/>
    <col min="7691" max="7691" width="14.85546875" style="15" customWidth="1"/>
    <col min="7692" max="7692" width="10.140625" style="15" customWidth="1"/>
    <col min="7693" max="7693" width="18.140625" style="15" customWidth="1"/>
    <col min="7694" max="7694" width="14.7109375" style="15" customWidth="1"/>
    <col min="7695" max="7695" width="20.5703125" style="15" customWidth="1"/>
    <col min="7696" max="7696" width="13" style="15" customWidth="1"/>
    <col min="7697" max="7697" width="15" style="15" customWidth="1"/>
    <col min="7698" max="7698" width="15.140625" style="15" customWidth="1"/>
    <col min="7699" max="7700" width="15" style="15" customWidth="1"/>
    <col min="7701" max="7936" width="14.7109375" style="15"/>
    <col min="7937" max="7937" width="20.7109375" style="15" customWidth="1"/>
    <col min="7938" max="7938" width="4.85546875" style="15" customWidth="1"/>
    <col min="7939" max="7939" width="15.5703125" style="15" customWidth="1"/>
    <col min="7940" max="7940" width="11.85546875" style="15" customWidth="1"/>
    <col min="7941" max="7941" width="11.28515625" style="15" customWidth="1"/>
    <col min="7942" max="7943" width="13.5703125" style="15" customWidth="1"/>
    <col min="7944" max="7944" width="12.7109375" style="15" customWidth="1"/>
    <col min="7945" max="7945" width="10.5703125" style="15" customWidth="1"/>
    <col min="7946" max="7946" width="13.140625" style="15" customWidth="1"/>
    <col min="7947" max="7947" width="14.85546875" style="15" customWidth="1"/>
    <col min="7948" max="7948" width="10.140625" style="15" customWidth="1"/>
    <col min="7949" max="7949" width="18.140625" style="15" customWidth="1"/>
    <col min="7950" max="7950" width="14.7109375" style="15" customWidth="1"/>
    <col min="7951" max="7951" width="20.5703125" style="15" customWidth="1"/>
    <col min="7952" max="7952" width="13" style="15" customWidth="1"/>
    <col min="7953" max="7953" width="15" style="15" customWidth="1"/>
    <col min="7954" max="7954" width="15.140625" style="15" customWidth="1"/>
    <col min="7955" max="7956" width="15" style="15" customWidth="1"/>
    <col min="7957" max="8192" width="14.7109375" style="15"/>
    <col min="8193" max="8193" width="20.7109375" style="15" customWidth="1"/>
    <col min="8194" max="8194" width="4.85546875" style="15" customWidth="1"/>
    <col min="8195" max="8195" width="15.5703125" style="15" customWidth="1"/>
    <col min="8196" max="8196" width="11.85546875" style="15" customWidth="1"/>
    <col min="8197" max="8197" width="11.28515625" style="15" customWidth="1"/>
    <col min="8198" max="8199" width="13.5703125" style="15" customWidth="1"/>
    <col min="8200" max="8200" width="12.7109375" style="15" customWidth="1"/>
    <col min="8201" max="8201" width="10.5703125" style="15" customWidth="1"/>
    <col min="8202" max="8202" width="13.140625" style="15" customWidth="1"/>
    <col min="8203" max="8203" width="14.85546875" style="15" customWidth="1"/>
    <col min="8204" max="8204" width="10.140625" style="15" customWidth="1"/>
    <col min="8205" max="8205" width="18.140625" style="15" customWidth="1"/>
    <col min="8206" max="8206" width="14.7109375" style="15" customWidth="1"/>
    <col min="8207" max="8207" width="20.5703125" style="15" customWidth="1"/>
    <col min="8208" max="8208" width="13" style="15" customWidth="1"/>
    <col min="8209" max="8209" width="15" style="15" customWidth="1"/>
    <col min="8210" max="8210" width="15.140625" style="15" customWidth="1"/>
    <col min="8211" max="8212" width="15" style="15" customWidth="1"/>
    <col min="8213" max="8448" width="14.7109375" style="15"/>
    <col min="8449" max="8449" width="20.7109375" style="15" customWidth="1"/>
    <col min="8450" max="8450" width="4.85546875" style="15" customWidth="1"/>
    <col min="8451" max="8451" width="15.5703125" style="15" customWidth="1"/>
    <col min="8452" max="8452" width="11.85546875" style="15" customWidth="1"/>
    <col min="8453" max="8453" width="11.28515625" style="15" customWidth="1"/>
    <col min="8454" max="8455" width="13.5703125" style="15" customWidth="1"/>
    <col min="8456" max="8456" width="12.7109375" style="15" customWidth="1"/>
    <col min="8457" max="8457" width="10.5703125" style="15" customWidth="1"/>
    <col min="8458" max="8458" width="13.140625" style="15" customWidth="1"/>
    <col min="8459" max="8459" width="14.85546875" style="15" customWidth="1"/>
    <col min="8460" max="8460" width="10.140625" style="15" customWidth="1"/>
    <col min="8461" max="8461" width="18.140625" style="15" customWidth="1"/>
    <col min="8462" max="8462" width="14.7109375" style="15" customWidth="1"/>
    <col min="8463" max="8463" width="20.5703125" style="15" customWidth="1"/>
    <col min="8464" max="8464" width="13" style="15" customWidth="1"/>
    <col min="8465" max="8465" width="15" style="15" customWidth="1"/>
    <col min="8466" max="8466" width="15.140625" style="15" customWidth="1"/>
    <col min="8467" max="8468" width="15" style="15" customWidth="1"/>
    <col min="8469" max="8704" width="14.7109375" style="15"/>
    <col min="8705" max="8705" width="20.7109375" style="15" customWidth="1"/>
    <col min="8706" max="8706" width="4.85546875" style="15" customWidth="1"/>
    <col min="8707" max="8707" width="15.5703125" style="15" customWidth="1"/>
    <col min="8708" max="8708" width="11.85546875" style="15" customWidth="1"/>
    <col min="8709" max="8709" width="11.28515625" style="15" customWidth="1"/>
    <col min="8710" max="8711" width="13.5703125" style="15" customWidth="1"/>
    <col min="8712" max="8712" width="12.7109375" style="15" customWidth="1"/>
    <col min="8713" max="8713" width="10.5703125" style="15" customWidth="1"/>
    <col min="8714" max="8714" width="13.140625" style="15" customWidth="1"/>
    <col min="8715" max="8715" width="14.85546875" style="15" customWidth="1"/>
    <col min="8716" max="8716" width="10.140625" style="15" customWidth="1"/>
    <col min="8717" max="8717" width="18.140625" style="15" customWidth="1"/>
    <col min="8718" max="8718" width="14.7109375" style="15" customWidth="1"/>
    <col min="8719" max="8719" width="20.5703125" style="15" customWidth="1"/>
    <col min="8720" max="8720" width="13" style="15" customWidth="1"/>
    <col min="8721" max="8721" width="15" style="15" customWidth="1"/>
    <col min="8722" max="8722" width="15.140625" style="15" customWidth="1"/>
    <col min="8723" max="8724" width="15" style="15" customWidth="1"/>
    <col min="8725" max="8960" width="14.7109375" style="15"/>
    <col min="8961" max="8961" width="20.7109375" style="15" customWidth="1"/>
    <col min="8962" max="8962" width="4.85546875" style="15" customWidth="1"/>
    <col min="8963" max="8963" width="15.5703125" style="15" customWidth="1"/>
    <col min="8964" max="8964" width="11.85546875" style="15" customWidth="1"/>
    <col min="8965" max="8965" width="11.28515625" style="15" customWidth="1"/>
    <col min="8966" max="8967" width="13.5703125" style="15" customWidth="1"/>
    <col min="8968" max="8968" width="12.7109375" style="15" customWidth="1"/>
    <col min="8969" max="8969" width="10.5703125" style="15" customWidth="1"/>
    <col min="8970" max="8970" width="13.140625" style="15" customWidth="1"/>
    <col min="8971" max="8971" width="14.85546875" style="15" customWidth="1"/>
    <col min="8972" max="8972" width="10.140625" style="15" customWidth="1"/>
    <col min="8973" max="8973" width="18.140625" style="15" customWidth="1"/>
    <col min="8974" max="8974" width="14.7109375" style="15" customWidth="1"/>
    <col min="8975" max="8975" width="20.5703125" style="15" customWidth="1"/>
    <col min="8976" max="8976" width="13" style="15" customWidth="1"/>
    <col min="8977" max="8977" width="15" style="15" customWidth="1"/>
    <col min="8978" max="8978" width="15.140625" style="15" customWidth="1"/>
    <col min="8979" max="8980" width="15" style="15" customWidth="1"/>
    <col min="8981" max="9216" width="14.7109375" style="15"/>
    <col min="9217" max="9217" width="20.7109375" style="15" customWidth="1"/>
    <col min="9218" max="9218" width="4.85546875" style="15" customWidth="1"/>
    <col min="9219" max="9219" width="15.5703125" style="15" customWidth="1"/>
    <col min="9220" max="9220" width="11.85546875" style="15" customWidth="1"/>
    <col min="9221" max="9221" width="11.28515625" style="15" customWidth="1"/>
    <col min="9222" max="9223" width="13.5703125" style="15" customWidth="1"/>
    <col min="9224" max="9224" width="12.7109375" style="15" customWidth="1"/>
    <col min="9225" max="9225" width="10.5703125" style="15" customWidth="1"/>
    <col min="9226" max="9226" width="13.140625" style="15" customWidth="1"/>
    <col min="9227" max="9227" width="14.85546875" style="15" customWidth="1"/>
    <col min="9228" max="9228" width="10.140625" style="15" customWidth="1"/>
    <col min="9229" max="9229" width="18.140625" style="15" customWidth="1"/>
    <col min="9230" max="9230" width="14.7109375" style="15" customWidth="1"/>
    <col min="9231" max="9231" width="20.5703125" style="15" customWidth="1"/>
    <col min="9232" max="9232" width="13" style="15" customWidth="1"/>
    <col min="9233" max="9233" width="15" style="15" customWidth="1"/>
    <col min="9234" max="9234" width="15.140625" style="15" customWidth="1"/>
    <col min="9235" max="9236" width="15" style="15" customWidth="1"/>
    <col min="9237" max="9472" width="14.7109375" style="15"/>
    <col min="9473" max="9473" width="20.7109375" style="15" customWidth="1"/>
    <col min="9474" max="9474" width="4.85546875" style="15" customWidth="1"/>
    <col min="9475" max="9475" width="15.5703125" style="15" customWidth="1"/>
    <col min="9476" max="9476" width="11.85546875" style="15" customWidth="1"/>
    <col min="9477" max="9477" width="11.28515625" style="15" customWidth="1"/>
    <col min="9478" max="9479" width="13.5703125" style="15" customWidth="1"/>
    <col min="9480" max="9480" width="12.7109375" style="15" customWidth="1"/>
    <col min="9481" max="9481" width="10.5703125" style="15" customWidth="1"/>
    <col min="9482" max="9482" width="13.140625" style="15" customWidth="1"/>
    <col min="9483" max="9483" width="14.85546875" style="15" customWidth="1"/>
    <col min="9484" max="9484" width="10.140625" style="15" customWidth="1"/>
    <col min="9485" max="9485" width="18.140625" style="15" customWidth="1"/>
    <col min="9486" max="9486" width="14.7109375" style="15" customWidth="1"/>
    <col min="9487" max="9487" width="20.5703125" style="15" customWidth="1"/>
    <col min="9488" max="9488" width="13" style="15" customWidth="1"/>
    <col min="9489" max="9489" width="15" style="15" customWidth="1"/>
    <col min="9490" max="9490" width="15.140625" style="15" customWidth="1"/>
    <col min="9491" max="9492" width="15" style="15" customWidth="1"/>
    <col min="9493" max="9728" width="14.7109375" style="15"/>
    <col min="9729" max="9729" width="20.7109375" style="15" customWidth="1"/>
    <col min="9730" max="9730" width="4.85546875" style="15" customWidth="1"/>
    <col min="9731" max="9731" width="15.5703125" style="15" customWidth="1"/>
    <col min="9732" max="9732" width="11.85546875" style="15" customWidth="1"/>
    <col min="9733" max="9733" width="11.28515625" style="15" customWidth="1"/>
    <col min="9734" max="9735" width="13.5703125" style="15" customWidth="1"/>
    <col min="9736" max="9736" width="12.7109375" style="15" customWidth="1"/>
    <col min="9737" max="9737" width="10.5703125" style="15" customWidth="1"/>
    <col min="9738" max="9738" width="13.140625" style="15" customWidth="1"/>
    <col min="9739" max="9739" width="14.85546875" style="15" customWidth="1"/>
    <col min="9740" max="9740" width="10.140625" style="15" customWidth="1"/>
    <col min="9741" max="9741" width="18.140625" style="15" customWidth="1"/>
    <col min="9742" max="9742" width="14.7109375" style="15" customWidth="1"/>
    <col min="9743" max="9743" width="20.5703125" style="15" customWidth="1"/>
    <col min="9744" max="9744" width="13" style="15" customWidth="1"/>
    <col min="9745" max="9745" width="15" style="15" customWidth="1"/>
    <col min="9746" max="9746" width="15.140625" style="15" customWidth="1"/>
    <col min="9747" max="9748" width="15" style="15" customWidth="1"/>
    <col min="9749" max="9984" width="14.7109375" style="15"/>
    <col min="9985" max="9985" width="20.7109375" style="15" customWidth="1"/>
    <col min="9986" max="9986" width="4.85546875" style="15" customWidth="1"/>
    <col min="9987" max="9987" width="15.5703125" style="15" customWidth="1"/>
    <col min="9988" max="9988" width="11.85546875" style="15" customWidth="1"/>
    <col min="9989" max="9989" width="11.28515625" style="15" customWidth="1"/>
    <col min="9990" max="9991" width="13.5703125" style="15" customWidth="1"/>
    <col min="9992" max="9992" width="12.7109375" style="15" customWidth="1"/>
    <col min="9993" max="9993" width="10.5703125" style="15" customWidth="1"/>
    <col min="9994" max="9994" width="13.140625" style="15" customWidth="1"/>
    <col min="9995" max="9995" width="14.85546875" style="15" customWidth="1"/>
    <col min="9996" max="9996" width="10.140625" style="15" customWidth="1"/>
    <col min="9997" max="9997" width="18.140625" style="15" customWidth="1"/>
    <col min="9998" max="9998" width="14.7109375" style="15" customWidth="1"/>
    <col min="9999" max="9999" width="20.5703125" style="15" customWidth="1"/>
    <col min="10000" max="10000" width="13" style="15" customWidth="1"/>
    <col min="10001" max="10001" width="15" style="15" customWidth="1"/>
    <col min="10002" max="10002" width="15.140625" style="15" customWidth="1"/>
    <col min="10003" max="10004" width="15" style="15" customWidth="1"/>
    <col min="10005" max="10240" width="14.7109375" style="15"/>
    <col min="10241" max="10241" width="20.7109375" style="15" customWidth="1"/>
    <col min="10242" max="10242" width="4.85546875" style="15" customWidth="1"/>
    <col min="10243" max="10243" width="15.5703125" style="15" customWidth="1"/>
    <col min="10244" max="10244" width="11.85546875" style="15" customWidth="1"/>
    <col min="10245" max="10245" width="11.28515625" style="15" customWidth="1"/>
    <col min="10246" max="10247" width="13.5703125" style="15" customWidth="1"/>
    <col min="10248" max="10248" width="12.7109375" style="15" customWidth="1"/>
    <col min="10249" max="10249" width="10.5703125" style="15" customWidth="1"/>
    <col min="10250" max="10250" width="13.140625" style="15" customWidth="1"/>
    <col min="10251" max="10251" width="14.85546875" style="15" customWidth="1"/>
    <col min="10252" max="10252" width="10.140625" style="15" customWidth="1"/>
    <col min="10253" max="10253" width="18.140625" style="15" customWidth="1"/>
    <col min="10254" max="10254" width="14.7109375" style="15" customWidth="1"/>
    <col min="10255" max="10255" width="20.5703125" style="15" customWidth="1"/>
    <col min="10256" max="10256" width="13" style="15" customWidth="1"/>
    <col min="10257" max="10257" width="15" style="15" customWidth="1"/>
    <col min="10258" max="10258" width="15.140625" style="15" customWidth="1"/>
    <col min="10259" max="10260" width="15" style="15" customWidth="1"/>
    <col min="10261" max="10496" width="14.7109375" style="15"/>
    <col min="10497" max="10497" width="20.7109375" style="15" customWidth="1"/>
    <col min="10498" max="10498" width="4.85546875" style="15" customWidth="1"/>
    <col min="10499" max="10499" width="15.5703125" style="15" customWidth="1"/>
    <col min="10500" max="10500" width="11.85546875" style="15" customWidth="1"/>
    <col min="10501" max="10501" width="11.28515625" style="15" customWidth="1"/>
    <col min="10502" max="10503" width="13.5703125" style="15" customWidth="1"/>
    <col min="10504" max="10504" width="12.7109375" style="15" customWidth="1"/>
    <col min="10505" max="10505" width="10.5703125" style="15" customWidth="1"/>
    <col min="10506" max="10506" width="13.140625" style="15" customWidth="1"/>
    <col min="10507" max="10507" width="14.85546875" style="15" customWidth="1"/>
    <col min="10508" max="10508" width="10.140625" style="15" customWidth="1"/>
    <col min="10509" max="10509" width="18.140625" style="15" customWidth="1"/>
    <col min="10510" max="10510" width="14.7109375" style="15" customWidth="1"/>
    <col min="10511" max="10511" width="20.5703125" style="15" customWidth="1"/>
    <col min="10512" max="10512" width="13" style="15" customWidth="1"/>
    <col min="10513" max="10513" width="15" style="15" customWidth="1"/>
    <col min="10514" max="10514" width="15.140625" style="15" customWidth="1"/>
    <col min="10515" max="10516" width="15" style="15" customWidth="1"/>
    <col min="10517" max="10752" width="14.7109375" style="15"/>
    <col min="10753" max="10753" width="20.7109375" style="15" customWidth="1"/>
    <col min="10754" max="10754" width="4.85546875" style="15" customWidth="1"/>
    <col min="10755" max="10755" width="15.5703125" style="15" customWidth="1"/>
    <col min="10756" max="10756" width="11.85546875" style="15" customWidth="1"/>
    <col min="10757" max="10757" width="11.28515625" style="15" customWidth="1"/>
    <col min="10758" max="10759" width="13.5703125" style="15" customWidth="1"/>
    <col min="10760" max="10760" width="12.7109375" style="15" customWidth="1"/>
    <col min="10761" max="10761" width="10.5703125" style="15" customWidth="1"/>
    <col min="10762" max="10762" width="13.140625" style="15" customWidth="1"/>
    <col min="10763" max="10763" width="14.85546875" style="15" customWidth="1"/>
    <col min="10764" max="10764" width="10.140625" style="15" customWidth="1"/>
    <col min="10765" max="10765" width="18.140625" style="15" customWidth="1"/>
    <col min="10766" max="10766" width="14.7109375" style="15" customWidth="1"/>
    <col min="10767" max="10767" width="20.5703125" style="15" customWidth="1"/>
    <col min="10768" max="10768" width="13" style="15" customWidth="1"/>
    <col min="10769" max="10769" width="15" style="15" customWidth="1"/>
    <col min="10770" max="10770" width="15.140625" style="15" customWidth="1"/>
    <col min="10771" max="10772" width="15" style="15" customWidth="1"/>
    <col min="10773" max="11008" width="14.7109375" style="15"/>
    <col min="11009" max="11009" width="20.7109375" style="15" customWidth="1"/>
    <col min="11010" max="11010" width="4.85546875" style="15" customWidth="1"/>
    <col min="11011" max="11011" width="15.5703125" style="15" customWidth="1"/>
    <col min="11012" max="11012" width="11.85546875" style="15" customWidth="1"/>
    <col min="11013" max="11013" width="11.28515625" style="15" customWidth="1"/>
    <col min="11014" max="11015" width="13.5703125" style="15" customWidth="1"/>
    <col min="11016" max="11016" width="12.7109375" style="15" customWidth="1"/>
    <col min="11017" max="11017" width="10.5703125" style="15" customWidth="1"/>
    <col min="11018" max="11018" width="13.140625" style="15" customWidth="1"/>
    <col min="11019" max="11019" width="14.85546875" style="15" customWidth="1"/>
    <col min="11020" max="11020" width="10.140625" style="15" customWidth="1"/>
    <col min="11021" max="11021" width="18.140625" style="15" customWidth="1"/>
    <col min="11022" max="11022" width="14.7109375" style="15" customWidth="1"/>
    <col min="11023" max="11023" width="20.5703125" style="15" customWidth="1"/>
    <col min="11024" max="11024" width="13" style="15" customWidth="1"/>
    <col min="11025" max="11025" width="15" style="15" customWidth="1"/>
    <col min="11026" max="11026" width="15.140625" style="15" customWidth="1"/>
    <col min="11027" max="11028" width="15" style="15" customWidth="1"/>
    <col min="11029" max="11264" width="14.7109375" style="15"/>
    <col min="11265" max="11265" width="20.7109375" style="15" customWidth="1"/>
    <col min="11266" max="11266" width="4.85546875" style="15" customWidth="1"/>
    <col min="11267" max="11267" width="15.5703125" style="15" customWidth="1"/>
    <col min="11268" max="11268" width="11.85546875" style="15" customWidth="1"/>
    <col min="11269" max="11269" width="11.28515625" style="15" customWidth="1"/>
    <col min="11270" max="11271" width="13.5703125" style="15" customWidth="1"/>
    <col min="11272" max="11272" width="12.7109375" style="15" customWidth="1"/>
    <col min="11273" max="11273" width="10.5703125" style="15" customWidth="1"/>
    <col min="11274" max="11274" width="13.140625" style="15" customWidth="1"/>
    <col min="11275" max="11275" width="14.85546875" style="15" customWidth="1"/>
    <col min="11276" max="11276" width="10.140625" style="15" customWidth="1"/>
    <col min="11277" max="11277" width="18.140625" style="15" customWidth="1"/>
    <col min="11278" max="11278" width="14.7109375" style="15" customWidth="1"/>
    <col min="11279" max="11279" width="20.5703125" style="15" customWidth="1"/>
    <col min="11280" max="11280" width="13" style="15" customWidth="1"/>
    <col min="11281" max="11281" width="15" style="15" customWidth="1"/>
    <col min="11282" max="11282" width="15.140625" style="15" customWidth="1"/>
    <col min="11283" max="11284" width="15" style="15" customWidth="1"/>
    <col min="11285" max="11520" width="14.7109375" style="15"/>
    <col min="11521" max="11521" width="20.7109375" style="15" customWidth="1"/>
    <col min="11522" max="11522" width="4.85546875" style="15" customWidth="1"/>
    <col min="11523" max="11523" width="15.5703125" style="15" customWidth="1"/>
    <col min="11524" max="11524" width="11.85546875" style="15" customWidth="1"/>
    <col min="11525" max="11525" width="11.28515625" style="15" customWidth="1"/>
    <col min="11526" max="11527" width="13.5703125" style="15" customWidth="1"/>
    <col min="11528" max="11528" width="12.7109375" style="15" customWidth="1"/>
    <col min="11529" max="11529" width="10.5703125" style="15" customWidth="1"/>
    <col min="11530" max="11530" width="13.140625" style="15" customWidth="1"/>
    <col min="11531" max="11531" width="14.85546875" style="15" customWidth="1"/>
    <col min="11532" max="11532" width="10.140625" style="15" customWidth="1"/>
    <col min="11533" max="11533" width="18.140625" style="15" customWidth="1"/>
    <col min="11534" max="11534" width="14.7109375" style="15" customWidth="1"/>
    <col min="11535" max="11535" width="20.5703125" style="15" customWidth="1"/>
    <col min="11536" max="11536" width="13" style="15" customWidth="1"/>
    <col min="11537" max="11537" width="15" style="15" customWidth="1"/>
    <col min="11538" max="11538" width="15.140625" style="15" customWidth="1"/>
    <col min="11539" max="11540" width="15" style="15" customWidth="1"/>
    <col min="11541" max="11776" width="14.7109375" style="15"/>
    <col min="11777" max="11777" width="20.7109375" style="15" customWidth="1"/>
    <col min="11778" max="11778" width="4.85546875" style="15" customWidth="1"/>
    <col min="11779" max="11779" width="15.5703125" style="15" customWidth="1"/>
    <col min="11780" max="11780" width="11.85546875" style="15" customWidth="1"/>
    <col min="11781" max="11781" width="11.28515625" style="15" customWidth="1"/>
    <col min="11782" max="11783" width="13.5703125" style="15" customWidth="1"/>
    <col min="11784" max="11784" width="12.7109375" style="15" customWidth="1"/>
    <col min="11785" max="11785" width="10.5703125" style="15" customWidth="1"/>
    <col min="11786" max="11786" width="13.140625" style="15" customWidth="1"/>
    <col min="11787" max="11787" width="14.85546875" style="15" customWidth="1"/>
    <col min="11788" max="11788" width="10.140625" style="15" customWidth="1"/>
    <col min="11789" max="11789" width="18.140625" style="15" customWidth="1"/>
    <col min="11790" max="11790" width="14.7109375" style="15" customWidth="1"/>
    <col min="11791" max="11791" width="20.5703125" style="15" customWidth="1"/>
    <col min="11792" max="11792" width="13" style="15" customWidth="1"/>
    <col min="11793" max="11793" width="15" style="15" customWidth="1"/>
    <col min="11794" max="11794" width="15.140625" style="15" customWidth="1"/>
    <col min="11795" max="11796" width="15" style="15" customWidth="1"/>
    <col min="11797" max="12032" width="14.7109375" style="15"/>
    <col min="12033" max="12033" width="20.7109375" style="15" customWidth="1"/>
    <col min="12034" max="12034" width="4.85546875" style="15" customWidth="1"/>
    <col min="12035" max="12035" width="15.5703125" style="15" customWidth="1"/>
    <col min="12036" max="12036" width="11.85546875" style="15" customWidth="1"/>
    <col min="12037" max="12037" width="11.28515625" style="15" customWidth="1"/>
    <col min="12038" max="12039" width="13.5703125" style="15" customWidth="1"/>
    <col min="12040" max="12040" width="12.7109375" style="15" customWidth="1"/>
    <col min="12041" max="12041" width="10.5703125" style="15" customWidth="1"/>
    <col min="12042" max="12042" width="13.140625" style="15" customWidth="1"/>
    <col min="12043" max="12043" width="14.85546875" style="15" customWidth="1"/>
    <col min="12044" max="12044" width="10.140625" style="15" customWidth="1"/>
    <col min="12045" max="12045" width="18.140625" style="15" customWidth="1"/>
    <col min="12046" max="12046" width="14.7109375" style="15" customWidth="1"/>
    <col min="12047" max="12047" width="20.5703125" style="15" customWidth="1"/>
    <col min="12048" max="12048" width="13" style="15" customWidth="1"/>
    <col min="12049" max="12049" width="15" style="15" customWidth="1"/>
    <col min="12050" max="12050" width="15.140625" style="15" customWidth="1"/>
    <col min="12051" max="12052" width="15" style="15" customWidth="1"/>
    <col min="12053" max="12288" width="14.7109375" style="15"/>
    <col min="12289" max="12289" width="20.7109375" style="15" customWidth="1"/>
    <col min="12290" max="12290" width="4.85546875" style="15" customWidth="1"/>
    <col min="12291" max="12291" width="15.5703125" style="15" customWidth="1"/>
    <col min="12292" max="12292" width="11.85546875" style="15" customWidth="1"/>
    <col min="12293" max="12293" width="11.28515625" style="15" customWidth="1"/>
    <col min="12294" max="12295" width="13.5703125" style="15" customWidth="1"/>
    <col min="12296" max="12296" width="12.7109375" style="15" customWidth="1"/>
    <col min="12297" max="12297" width="10.5703125" style="15" customWidth="1"/>
    <col min="12298" max="12298" width="13.140625" style="15" customWidth="1"/>
    <col min="12299" max="12299" width="14.85546875" style="15" customWidth="1"/>
    <col min="12300" max="12300" width="10.140625" style="15" customWidth="1"/>
    <col min="12301" max="12301" width="18.140625" style="15" customWidth="1"/>
    <col min="12302" max="12302" width="14.7109375" style="15" customWidth="1"/>
    <col min="12303" max="12303" width="20.5703125" style="15" customWidth="1"/>
    <col min="12304" max="12304" width="13" style="15" customWidth="1"/>
    <col min="12305" max="12305" width="15" style="15" customWidth="1"/>
    <col min="12306" max="12306" width="15.140625" style="15" customWidth="1"/>
    <col min="12307" max="12308" width="15" style="15" customWidth="1"/>
    <col min="12309" max="12544" width="14.7109375" style="15"/>
    <col min="12545" max="12545" width="20.7109375" style="15" customWidth="1"/>
    <col min="12546" max="12546" width="4.85546875" style="15" customWidth="1"/>
    <col min="12547" max="12547" width="15.5703125" style="15" customWidth="1"/>
    <col min="12548" max="12548" width="11.85546875" style="15" customWidth="1"/>
    <col min="12549" max="12549" width="11.28515625" style="15" customWidth="1"/>
    <col min="12550" max="12551" width="13.5703125" style="15" customWidth="1"/>
    <col min="12552" max="12552" width="12.7109375" style="15" customWidth="1"/>
    <col min="12553" max="12553" width="10.5703125" style="15" customWidth="1"/>
    <col min="12554" max="12554" width="13.140625" style="15" customWidth="1"/>
    <col min="12555" max="12555" width="14.85546875" style="15" customWidth="1"/>
    <col min="12556" max="12556" width="10.140625" style="15" customWidth="1"/>
    <col min="12557" max="12557" width="18.140625" style="15" customWidth="1"/>
    <col min="12558" max="12558" width="14.7109375" style="15" customWidth="1"/>
    <col min="12559" max="12559" width="20.5703125" style="15" customWidth="1"/>
    <col min="12560" max="12560" width="13" style="15" customWidth="1"/>
    <col min="12561" max="12561" width="15" style="15" customWidth="1"/>
    <col min="12562" max="12562" width="15.140625" style="15" customWidth="1"/>
    <col min="12563" max="12564" width="15" style="15" customWidth="1"/>
    <col min="12565" max="12800" width="14.7109375" style="15"/>
    <col min="12801" max="12801" width="20.7109375" style="15" customWidth="1"/>
    <col min="12802" max="12802" width="4.85546875" style="15" customWidth="1"/>
    <col min="12803" max="12803" width="15.5703125" style="15" customWidth="1"/>
    <col min="12804" max="12804" width="11.85546875" style="15" customWidth="1"/>
    <col min="12805" max="12805" width="11.28515625" style="15" customWidth="1"/>
    <col min="12806" max="12807" width="13.5703125" style="15" customWidth="1"/>
    <col min="12808" max="12808" width="12.7109375" style="15" customWidth="1"/>
    <col min="12809" max="12809" width="10.5703125" style="15" customWidth="1"/>
    <col min="12810" max="12810" width="13.140625" style="15" customWidth="1"/>
    <col min="12811" max="12811" width="14.85546875" style="15" customWidth="1"/>
    <col min="12812" max="12812" width="10.140625" style="15" customWidth="1"/>
    <col min="12813" max="12813" width="18.140625" style="15" customWidth="1"/>
    <col min="12814" max="12814" width="14.7109375" style="15" customWidth="1"/>
    <col min="12815" max="12815" width="20.5703125" style="15" customWidth="1"/>
    <col min="12816" max="12816" width="13" style="15" customWidth="1"/>
    <col min="12817" max="12817" width="15" style="15" customWidth="1"/>
    <col min="12818" max="12818" width="15.140625" style="15" customWidth="1"/>
    <col min="12819" max="12820" width="15" style="15" customWidth="1"/>
    <col min="12821" max="13056" width="14.7109375" style="15"/>
    <col min="13057" max="13057" width="20.7109375" style="15" customWidth="1"/>
    <col min="13058" max="13058" width="4.85546875" style="15" customWidth="1"/>
    <col min="13059" max="13059" width="15.5703125" style="15" customWidth="1"/>
    <col min="13060" max="13060" width="11.85546875" style="15" customWidth="1"/>
    <col min="13061" max="13061" width="11.28515625" style="15" customWidth="1"/>
    <col min="13062" max="13063" width="13.5703125" style="15" customWidth="1"/>
    <col min="13064" max="13064" width="12.7109375" style="15" customWidth="1"/>
    <col min="13065" max="13065" width="10.5703125" style="15" customWidth="1"/>
    <col min="13066" max="13066" width="13.140625" style="15" customWidth="1"/>
    <col min="13067" max="13067" width="14.85546875" style="15" customWidth="1"/>
    <col min="13068" max="13068" width="10.140625" style="15" customWidth="1"/>
    <col min="13069" max="13069" width="18.140625" style="15" customWidth="1"/>
    <col min="13070" max="13070" width="14.7109375" style="15" customWidth="1"/>
    <col min="13071" max="13071" width="20.5703125" style="15" customWidth="1"/>
    <col min="13072" max="13072" width="13" style="15" customWidth="1"/>
    <col min="13073" max="13073" width="15" style="15" customWidth="1"/>
    <col min="13074" max="13074" width="15.140625" style="15" customWidth="1"/>
    <col min="13075" max="13076" width="15" style="15" customWidth="1"/>
    <col min="13077" max="13312" width="14.7109375" style="15"/>
    <col min="13313" max="13313" width="20.7109375" style="15" customWidth="1"/>
    <col min="13314" max="13314" width="4.85546875" style="15" customWidth="1"/>
    <col min="13315" max="13315" width="15.5703125" style="15" customWidth="1"/>
    <col min="13316" max="13316" width="11.85546875" style="15" customWidth="1"/>
    <col min="13317" max="13317" width="11.28515625" style="15" customWidth="1"/>
    <col min="13318" max="13319" width="13.5703125" style="15" customWidth="1"/>
    <col min="13320" max="13320" width="12.7109375" style="15" customWidth="1"/>
    <col min="13321" max="13321" width="10.5703125" style="15" customWidth="1"/>
    <col min="13322" max="13322" width="13.140625" style="15" customWidth="1"/>
    <col min="13323" max="13323" width="14.85546875" style="15" customWidth="1"/>
    <col min="13324" max="13324" width="10.140625" style="15" customWidth="1"/>
    <col min="13325" max="13325" width="18.140625" style="15" customWidth="1"/>
    <col min="13326" max="13326" width="14.7109375" style="15" customWidth="1"/>
    <col min="13327" max="13327" width="20.5703125" style="15" customWidth="1"/>
    <col min="13328" max="13328" width="13" style="15" customWidth="1"/>
    <col min="13329" max="13329" width="15" style="15" customWidth="1"/>
    <col min="13330" max="13330" width="15.140625" style="15" customWidth="1"/>
    <col min="13331" max="13332" width="15" style="15" customWidth="1"/>
    <col min="13333" max="13568" width="14.7109375" style="15"/>
    <col min="13569" max="13569" width="20.7109375" style="15" customWidth="1"/>
    <col min="13570" max="13570" width="4.85546875" style="15" customWidth="1"/>
    <col min="13571" max="13571" width="15.5703125" style="15" customWidth="1"/>
    <col min="13572" max="13572" width="11.85546875" style="15" customWidth="1"/>
    <col min="13573" max="13573" width="11.28515625" style="15" customWidth="1"/>
    <col min="13574" max="13575" width="13.5703125" style="15" customWidth="1"/>
    <col min="13576" max="13576" width="12.7109375" style="15" customWidth="1"/>
    <col min="13577" max="13577" width="10.5703125" style="15" customWidth="1"/>
    <col min="13578" max="13578" width="13.140625" style="15" customWidth="1"/>
    <col min="13579" max="13579" width="14.85546875" style="15" customWidth="1"/>
    <col min="13580" max="13580" width="10.140625" style="15" customWidth="1"/>
    <col min="13581" max="13581" width="18.140625" style="15" customWidth="1"/>
    <col min="13582" max="13582" width="14.7109375" style="15" customWidth="1"/>
    <col min="13583" max="13583" width="20.5703125" style="15" customWidth="1"/>
    <col min="13584" max="13584" width="13" style="15" customWidth="1"/>
    <col min="13585" max="13585" width="15" style="15" customWidth="1"/>
    <col min="13586" max="13586" width="15.140625" style="15" customWidth="1"/>
    <col min="13587" max="13588" width="15" style="15" customWidth="1"/>
    <col min="13589" max="13824" width="14.7109375" style="15"/>
    <col min="13825" max="13825" width="20.7109375" style="15" customWidth="1"/>
    <col min="13826" max="13826" width="4.85546875" style="15" customWidth="1"/>
    <col min="13827" max="13827" width="15.5703125" style="15" customWidth="1"/>
    <col min="13828" max="13828" width="11.85546875" style="15" customWidth="1"/>
    <col min="13829" max="13829" width="11.28515625" style="15" customWidth="1"/>
    <col min="13830" max="13831" width="13.5703125" style="15" customWidth="1"/>
    <col min="13832" max="13832" width="12.7109375" style="15" customWidth="1"/>
    <col min="13833" max="13833" width="10.5703125" style="15" customWidth="1"/>
    <col min="13834" max="13834" width="13.140625" style="15" customWidth="1"/>
    <col min="13835" max="13835" width="14.85546875" style="15" customWidth="1"/>
    <col min="13836" max="13836" width="10.140625" style="15" customWidth="1"/>
    <col min="13837" max="13837" width="18.140625" style="15" customWidth="1"/>
    <col min="13838" max="13838" width="14.7109375" style="15" customWidth="1"/>
    <col min="13839" max="13839" width="20.5703125" style="15" customWidth="1"/>
    <col min="13840" max="13840" width="13" style="15" customWidth="1"/>
    <col min="13841" max="13841" width="15" style="15" customWidth="1"/>
    <col min="13842" max="13842" width="15.140625" style="15" customWidth="1"/>
    <col min="13843" max="13844" width="15" style="15" customWidth="1"/>
    <col min="13845" max="14080" width="14.7109375" style="15"/>
    <col min="14081" max="14081" width="20.7109375" style="15" customWidth="1"/>
    <col min="14082" max="14082" width="4.85546875" style="15" customWidth="1"/>
    <col min="14083" max="14083" width="15.5703125" style="15" customWidth="1"/>
    <col min="14084" max="14084" width="11.85546875" style="15" customWidth="1"/>
    <col min="14085" max="14085" width="11.28515625" style="15" customWidth="1"/>
    <col min="14086" max="14087" width="13.5703125" style="15" customWidth="1"/>
    <col min="14088" max="14088" width="12.7109375" style="15" customWidth="1"/>
    <col min="14089" max="14089" width="10.5703125" style="15" customWidth="1"/>
    <col min="14090" max="14090" width="13.140625" style="15" customWidth="1"/>
    <col min="14091" max="14091" width="14.85546875" style="15" customWidth="1"/>
    <col min="14092" max="14092" width="10.140625" style="15" customWidth="1"/>
    <col min="14093" max="14093" width="18.140625" style="15" customWidth="1"/>
    <col min="14094" max="14094" width="14.7109375" style="15" customWidth="1"/>
    <col min="14095" max="14095" width="20.5703125" style="15" customWidth="1"/>
    <col min="14096" max="14096" width="13" style="15" customWidth="1"/>
    <col min="14097" max="14097" width="15" style="15" customWidth="1"/>
    <col min="14098" max="14098" width="15.140625" style="15" customWidth="1"/>
    <col min="14099" max="14100" width="15" style="15" customWidth="1"/>
    <col min="14101" max="14336" width="14.7109375" style="15"/>
    <col min="14337" max="14337" width="20.7109375" style="15" customWidth="1"/>
    <col min="14338" max="14338" width="4.85546875" style="15" customWidth="1"/>
    <col min="14339" max="14339" width="15.5703125" style="15" customWidth="1"/>
    <col min="14340" max="14340" width="11.85546875" style="15" customWidth="1"/>
    <col min="14341" max="14341" width="11.28515625" style="15" customWidth="1"/>
    <col min="14342" max="14343" width="13.5703125" style="15" customWidth="1"/>
    <col min="14344" max="14344" width="12.7109375" style="15" customWidth="1"/>
    <col min="14345" max="14345" width="10.5703125" style="15" customWidth="1"/>
    <col min="14346" max="14346" width="13.140625" style="15" customWidth="1"/>
    <col min="14347" max="14347" width="14.85546875" style="15" customWidth="1"/>
    <col min="14348" max="14348" width="10.140625" style="15" customWidth="1"/>
    <col min="14349" max="14349" width="18.140625" style="15" customWidth="1"/>
    <col min="14350" max="14350" width="14.7109375" style="15" customWidth="1"/>
    <col min="14351" max="14351" width="20.5703125" style="15" customWidth="1"/>
    <col min="14352" max="14352" width="13" style="15" customWidth="1"/>
    <col min="14353" max="14353" width="15" style="15" customWidth="1"/>
    <col min="14354" max="14354" width="15.140625" style="15" customWidth="1"/>
    <col min="14355" max="14356" width="15" style="15" customWidth="1"/>
    <col min="14357" max="14592" width="14.7109375" style="15"/>
    <col min="14593" max="14593" width="20.7109375" style="15" customWidth="1"/>
    <col min="14594" max="14594" width="4.85546875" style="15" customWidth="1"/>
    <col min="14595" max="14595" width="15.5703125" style="15" customWidth="1"/>
    <col min="14596" max="14596" width="11.85546875" style="15" customWidth="1"/>
    <col min="14597" max="14597" width="11.28515625" style="15" customWidth="1"/>
    <col min="14598" max="14599" width="13.5703125" style="15" customWidth="1"/>
    <col min="14600" max="14600" width="12.7109375" style="15" customWidth="1"/>
    <col min="14601" max="14601" width="10.5703125" style="15" customWidth="1"/>
    <col min="14602" max="14602" width="13.140625" style="15" customWidth="1"/>
    <col min="14603" max="14603" width="14.85546875" style="15" customWidth="1"/>
    <col min="14604" max="14604" width="10.140625" style="15" customWidth="1"/>
    <col min="14605" max="14605" width="18.140625" style="15" customWidth="1"/>
    <col min="14606" max="14606" width="14.7109375" style="15" customWidth="1"/>
    <col min="14607" max="14607" width="20.5703125" style="15" customWidth="1"/>
    <col min="14608" max="14608" width="13" style="15" customWidth="1"/>
    <col min="14609" max="14609" width="15" style="15" customWidth="1"/>
    <col min="14610" max="14610" width="15.140625" style="15" customWidth="1"/>
    <col min="14611" max="14612" width="15" style="15" customWidth="1"/>
    <col min="14613" max="14848" width="14.7109375" style="15"/>
    <col min="14849" max="14849" width="20.7109375" style="15" customWidth="1"/>
    <col min="14850" max="14850" width="4.85546875" style="15" customWidth="1"/>
    <col min="14851" max="14851" width="15.5703125" style="15" customWidth="1"/>
    <col min="14852" max="14852" width="11.85546875" style="15" customWidth="1"/>
    <col min="14853" max="14853" width="11.28515625" style="15" customWidth="1"/>
    <col min="14854" max="14855" width="13.5703125" style="15" customWidth="1"/>
    <col min="14856" max="14856" width="12.7109375" style="15" customWidth="1"/>
    <col min="14857" max="14857" width="10.5703125" style="15" customWidth="1"/>
    <col min="14858" max="14858" width="13.140625" style="15" customWidth="1"/>
    <col min="14859" max="14859" width="14.85546875" style="15" customWidth="1"/>
    <col min="14860" max="14860" width="10.140625" style="15" customWidth="1"/>
    <col min="14861" max="14861" width="18.140625" style="15" customWidth="1"/>
    <col min="14862" max="14862" width="14.7109375" style="15" customWidth="1"/>
    <col min="14863" max="14863" width="20.5703125" style="15" customWidth="1"/>
    <col min="14864" max="14864" width="13" style="15" customWidth="1"/>
    <col min="14865" max="14865" width="15" style="15" customWidth="1"/>
    <col min="14866" max="14866" width="15.140625" style="15" customWidth="1"/>
    <col min="14867" max="14868" width="15" style="15" customWidth="1"/>
    <col min="14869" max="15104" width="14.7109375" style="15"/>
    <col min="15105" max="15105" width="20.7109375" style="15" customWidth="1"/>
    <col min="15106" max="15106" width="4.85546875" style="15" customWidth="1"/>
    <col min="15107" max="15107" width="15.5703125" style="15" customWidth="1"/>
    <col min="15108" max="15108" width="11.85546875" style="15" customWidth="1"/>
    <col min="15109" max="15109" width="11.28515625" style="15" customWidth="1"/>
    <col min="15110" max="15111" width="13.5703125" style="15" customWidth="1"/>
    <col min="15112" max="15112" width="12.7109375" style="15" customWidth="1"/>
    <col min="15113" max="15113" width="10.5703125" style="15" customWidth="1"/>
    <col min="15114" max="15114" width="13.140625" style="15" customWidth="1"/>
    <col min="15115" max="15115" width="14.85546875" style="15" customWidth="1"/>
    <col min="15116" max="15116" width="10.140625" style="15" customWidth="1"/>
    <col min="15117" max="15117" width="18.140625" style="15" customWidth="1"/>
    <col min="15118" max="15118" width="14.7109375" style="15" customWidth="1"/>
    <col min="15119" max="15119" width="20.5703125" style="15" customWidth="1"/>
    <col min="15120" max="15120" width="13" style="15" customWidth="1"/>
    <col min="15121" max="15121" width="15" style="15" customWidth="1"/>
    <col min="15122" max="15122" width="15.140625" style="15" customWidth="1"/>
    <col min="15123" max="15124" width="15" style="15" customWidth="1"/>
    <col min="15125" max="15360" width="14.7109375" style="15"/>
    <col min="15361" max="15361" width="20.7109375" style="15" customWidth="1"/>
    <col min="15362" max="15362" width="4.85546875" style="15" customWidth="1"/>
    <col min="15363" max="15363" width="15.5703125" style="15" customWidth="1"/>
    <col min="15364" max="15364" width="11.85546875" style="15" customWidth="1"/>
    <col min="15365" max="15365" width="11.28515625" style="15" customWidth="1"/>
    <col min="15366" max="15367" width="13.5703125" style="15" customWidth="1"/>
    <col min="15368" max="15368" width="12.7109375" style="15" customWidth="1"/>
    <col min="15369" max="15369" width="10.5703125" style="15" customWidth="1"/>
    <col min="15370" max="15370" width="13.140625" style="15" customWidth="1"/>
    <col min="15371" max="15371" width="14.85546875" style="15" customWidth="1"/>
    <col min="15372" max="15372" width="10.140625" style="15" customWidth="1"/>
    <col min="15373" max="15373" width="18.140625" style="15" customWidth="1"/>
    <col min="15374" max="15374" width="14.7109375" style="15" customWidth="1"/>
    <col min="15375" max="15375" width="20.5703125" style="15" customWidth="1"/>
    <col min="15376" max="15376" width="13" style="15" customWidth="1"/>
    <col min="15377" max="15377" width="15" style="15" customWidth="1"/>
    <col min="15378" max="15378" width="15.140625" style="15" customWidth="1"/>
    <col min="15379" max="15380" width="15" style="15" customWidth="1"/>
    <col min="15381" max="15616" width="14.7109375" style="15"/>
    <col min="15617" max="15617" width="20.7109375" style="15" customWidth="1"/>
    <col min="15618" max="15618" width="4.85546875" style="15" customWidth="1"/>
    <col min="15619" max="15619" width="15.5703125" style="15" customWidth="1"/>
    <col min="15620" max="15620" width="11.85546875" style="15" customWidth="1"/>
    <col min="15621" max="15621" width="11.28515625" style="15" customWidth="1"/>
    <col min="15622" max="15623" width="13.5703125" style="15" customWidth="1"/>
    <col min="15624" max="15624" width="12.7109375" style="15" customWidth="1"/>
    <col min="15625" max="15625" width="10.5703125" style="15" customWidth="1"/>
    <col min="15626" max="15626" width="13.140625" style="15" customWidth="1"/>
    <col min="15627" max="15627" width="14.85546875" style="15" customWidth="1"/>
    <col min="15628" max="15628" width="10.140625" style="15" customWidth="1"/>
    <col min="15629" max="15629" width="18.140625" style="15" customWidth="1"/>
    <col min="15630" max="15630" width="14.7109375" style="15" customWidth="1"/>
    <col min="15631" max="15631" width="20.5703125" style="15" customWidth="1"/>
    <col min="15632" max="15632" width="13" style="15" customWidth="1"/>
    <col min="15633" max="15633" width="15" style="15" customWidth="1"/>
    <col min="15634" max="15634" width="15.140625" style="15" customWidth="1"/>
    <col min="15635" max="15636" width="15" style="15" customWidth="1"/>
    <col min="15637" max="15872" width="14.7109375" style="15"/>
    <col min="15873" max="15873" width="20.7109375" style="15" customWidth="1"/>
    <col min="15874" max="15874" width="4.85546875" style="15" customWidth="1"/>
    <col min="15875" max="15875" width="15.5703125" style="15" customWidth="1"/>
    <col min="15876" max="15876" width="11.85546875" style="15" customWidth="1"/>
    <col min="15877" max="15877" width="11.28515625" style="15" customWidth="1"/>
    <col min="15878" max="15879" width="13.5703125" style="15" customWidth="1"/>
    <col min="15880" max="15880" width="12.7109375" style="15" customWidth="1"/>
    <col min="15881" max="15881" width="10.5703125" style="15" customWidth="1"/>
    <col min="15882" max="15882" width="13.140625" style="15" customWidth="1"/>
    <col min="15883" max="15883" width="14.85546875" style="15" customWidth="1"/>
    <col min="15884" max="15884" width="10.140625" style="15" customWidth="1"/>
    <col min="15885" max="15885" width="18.140625" style="15" customWidth="1"/>
    <col min="15886" max="15886" width="14.7109375" style="15" customWidth="1"/>
    <col min="15887" max="15887" width="20.5703125" style="15" customWidth="1"/>
    <col min="15888" max="15888" width="13" style="15" customWidth="1"/>
    <col min="15889" max="15889" width="15" style="15" customWidth="1"/>
    <col min="15890" max="15890" width="15.140625" style="15" customWidth="1"/>
    <col min="15891" max="15892" width="15" style="15" customWidth="1"/>
    <col min="15893" max="16128" width="14.7109375" style="15"/>
    <col min="16129" max="16129" width="20.7109375" style="15" customWidth="1"/>
    <col min="16130" max="16130" width="4.85546875" style="15" customWidth="1"/>
    <col min="16131" max="16131" width="15.5703125" style="15" customWidth="1"/>
    <col min="16132" max="16132" width="11.85546875" style="15" customWidth="1"/>
    <col min="16133" max="16133" width="11.28515625" style="15" customWidth="1"/>
    <col min="16134" max="16135" width="13.5703125" style="15" customWidth="1"/>
    <col min="16136" max="16136" width="12.7109375" style="15" customWidth="1"/>
    <col min="16137" max="16137" width="10.5703125" style="15" customWidth="1"/>
    <col min="16138" max="16138" width="13.140625" style="15" customWidth="1"/>
    <col min="16139" max="16139" width="14.85546875" style="15" customWidth="1"/>
    <col min="16140" max="16140" width="10.140625" style="15" customWidth="1"/>
    <col min="16141" max="16141" width="18.140625" style="15" customWidth="1"/>
    <col min="16142" max="16142" width="14.7109375" style="15" customWidth="1"/>
    <col min="16143" max="16143" width="20.5703125" style="15" customWidth="1"/>
    <col min="16144" max="16144" width="13" style="15" customWidth="1"/>
    <col min="16145" max="16145" width="15" style="15" customWidth="1"/>
    <col min="16146" max="16146" width="15.140625" style="15" customWidth="1"/>
    <col min="16147" max="16148" width="15" style="15" customWidth="1"/>
    <col min="16149" max="16384" width="14.7109375" style="15"/>
  </cols>
  <sheetData>
    <row r="1" spans="1:20" ht="15.75" customHeight="1" thickBot="1" x14ac:dyDescent="0.3">
      <c r="A1" s="88" t="s">
        <v>0</v>
      </c>
      <c r="B1" s="89"/>
      <c r="C1" s="90"/>
      <c r="D1" s="91"/>
      <c r="E1" s="92"/>
      <c r="F1" s="93"/>
      <c r="G1" s="93"/>
      <c r="H1" s="93"/>
      <c r="L1" s="96"/>
      <c r="M1" s="96"/>
      <c r="N1" s="96"/>
      <c r="O1" s="96"/>
      <c r="P1" s="96"/>
      <c r="S1" s="96"/>
    </row>
    <row r="2" spans="1:20" s="98" customFormat="1" ht="36" customHeight="1" x14ac:dyDescent="0.25">
      <c r="A2" s="209" t="s">
        <v>1</v>
      </c>
      <c r="B2" s="210"/>
      <c r="C2" s="211" t="s">
        <v>2</v>
      </c>
      <c r="D2" s="212" t="s">
        <v>3</v>
      </c>
      <c r="E2" s="213"/>
      <c r="F2" s="214" t="s">
        <v>4</v>
      </c>
      <c r="G2" s="219" t="s">
        <v>5</v>
      </c>
      <c r="H2" s="220"/>
      <c r="I2" s="215" t="s">
        <v>6</v>
      </c>
      <c r="J2" s="216" t="s">
        <v>7</v>
      </c>
      <c r="K2" s="217" t="s">
        <v>8</v>
      </c>
      <c r="L2" s="218" t="s">
        <v>9</v>
      </c>
      <c r="M2" s="218" t="s">
        <v>10</v>
      </c>
      <c r="N2" s="218" t="s">
        <v>11</v>
      </c>
      <c r="O2" s="219" t="s">
        <v>12</v>
      </c>
      <c r="P2" s="220"/>
      <c r="Q2" s="219" t="s">
        <v>13</v>
      </c>
      <c r="R2" s="220"/>
      <c r="S2" s="219" t="s">
        <v>14</v>
      </c>
      <c r="T2" s="221"/>
    </row>
    <row r="3" spans="1:20" s="98" customFormat="1" ht="63.75" customHeight="1" x14ac:dyDescent="0.25">
      <c r="A3" s="222"/>
      <c r="B3" s="99"/>
      <c r="C3" s="100"/>
      <c r="D3" s="101"/>
      <c r="E3" s="102"/>
      <c r="F3" s="160"/>
      <c r="G3" s="103" t="s">
        <v>15</v>
      </c>
      <c r="H3" s="103" t="s">
        <v>16</v>
      </c>
      <c r="I3" s="158"/>
      <c r="J3" s="159"/>
      <c r="K3" s="161"/>
      <c r="L3" s="162"/>
      <c r="M3" s="162"/>
      <c r="N3" s="162"/>
      <c r="O3" s="163" t="s">
        <v>17</v>
      </c>
      <c r="P3" s="163" t="s">
        <v>18</v>
      </c>
      <c r="Q3" s="104" t="s">
        <v>19</v>
      </c>
      <c r="R3" s="104" t="s">
        <v>20</v>
      </c>
      <c r="S3" s="1" t="s">
        <v>19</v>
      </c>
      <c r="T3" s="223" t="s">
        <v>21</v>
      </c>
    </row>
    <row r="4" spans="1:20" s="98" customFormat="1" ht="15" customHeight="1" x14ac:dyDescent="0.25">
      <c r="A4" s="224">
        <v>1</v>
      </c>
      <c r="B4" s="105">
        <v>2</v>
      </c>
      <c r="C4" s="105">
        <v>3</v>
      </c>
      <c r="D4" s="105">
        <v>4</v>
      </c>
      <c r="E4" s="105">
        <v>5</v>
      </c>
      <c r="F4" s="105">
        <v>6</v>
      </c>
      <c r="G4" s="105">
        <v>7</v>
      </c>
      <c r="H4" s="105">
        <v>8</v>
      </c>
      <c r="I4" s="105">
        <v>9</v>
      </c>
      <c r="J4" s="105">
        <v>10</v>
      </c>
      <c r="K4" s="106">
        <v>11</v>
      </c>
      <c r="L4" s="105">
        <v>12</v>
      </c>
      <c r="M4" s="105">
        <v>13</v>
      </c>
      <c r="N4" s="105">
        <v>14</v>
      </c>
      <c r="O4" s="105">
        <v>19</v>
      </c>
      <c r="P4" s="105">
        <v>20</v>
      </c>
      <c r="Q4" s="105">
        <v>21</v>
      </c>
      <c r="R4" s="105">
        <v>22</v>
      </c>
      <c r="S4" s="105">
        <v>23</v>
      </c>
      <c r="T4" s="225">
        <v>24</v>
      </c>
    </row>
    <row r="5" spans="1:20" s="98" customFormat="1" ht="15.75" customHeight="1" thickBot="1" x14ac:dyDescent="0.3">
      <c r="A5" s="226" t="s">
        <v>22</v>
      </c>
      <c r="B5" s="107"/>
      <c r="C5" s="108"/>
      <c r="D5" s="109"/>
      <c r="E5" s="110"/>
      <c r="F5" s="111"/>
      <c r="G5" s="112"/>
      <c r="H5" s="112"/>
      <c r="I5" s="113"/>
      <c r="J5" s="114"/>
      <c r="K5" s="111"/>
      <c r="L5" s="112"/>
      <c r="M5" s="112"/>
      <c r="N5" s="112"/>
      <c r="O5" s="112"/>
      <c r="P5" s="112"/>
      <c r="Q5" s="111"/>
      <c r="R5" s="112"/>
      <c r="S5" s="111"/>
      <c r="T5" s="227"/>
    </row>
    <row r="6" spans="1:20" ht="15" customHeight="1" x14ac:dyDescent="0.2">
      <c r="A6" s="2" t="s">
        <v>23</v>
      </c>
      <c r="B6" s="3" t="s">
        <v>24</v>
      </c>
      <c r="C6" s="4">
        <f>D6+F6</f>
        <v>17299.330000000002</v>
      </c>
      <c r="D6" s="5">
        <v>1213.9000000000001</v>
      </c>
      <c r="E6" s="6">
        <f>D6/C6</f>
        <v>7.0170347637740882E-2</v>
      </c>
      <c r="F6" s="4">
        <v>16085.43</v>
      </c>
      <c r="G6" s="7">
        <f>F6*0.4234</f>
        <v>6810.571062</v>
      </c>
      <c r="H6" s="7">
        <f>F6-G6</f>
        <v>9274.8589380000012</v>
      </c>
      <c r="I6" s="8">
        <v>29.1252</v>
      </c>
      <c r="J6" s="9">
        <v>519.98578999999995</v>
      </c>
      <c r="K6" s="10">
        <f>I6*J6*1000</f>
        <v>15144690.130907999</v>
      </c>
      <c r="L6" s="9">
        <v>0.21010000000000001</v>
      </c>
      <c r="M6" s="11">
        <f>F6*L6*1000</f>
        <v>3379548.8429999999</v>
      </c>
      <c r="N6" s="12">
        <v>1304.0999999999999</v>
      </c>
      <c r="O6" s="7"/>
      <c r="P6" s="137"/>
      <c r="Q6" s="13">
        <f>K6+M6</f>
        <v>18524238.973908</v>
      </c>
      <c r="R6" s="7">
        <f>Q6*1.2</f>
        <v>22229086.768689599</v>
      </c>
      <c r="S6" s="7">
        <f>N6*F6</f>
        <v>20977009.263</v>
      </c>
      <c r="T6" s="14">
        <f>S6*1.2</f>
        <v>25172411.115600001</v>
      </c>
    </row>
    <row r="7" spans="1:20" s="29" customFormat="1" ht="15" customHeight="1" x14ac:dyDescent="0.2">
      <c r="A7" s="16"/>
      <c r="B7" s="17" t="s">
        <v>25</v>
      </c>
      <c r="C7" s="18">
        <v>17991.758999999998</v>
      </c>
      <c r="D7" s="19">
        <v>1213.9000000000001</v>
      </c>
      <c r="E7" s="20">
        <f>(D7+D8)/C7</f>
        <v>8.6283781369014573E-2</v>
      </c>
      <c r="F7" s="18">
        <v>16439.362000000001</v>
      </c>
      <c r="G7" s="21">
        <v>7270.0640000000003</v>
      </c>
      <c r="H7" s="21">
        <v>9169.2980000000007</v>
      </c>
      <c r="I7" s="22">
        <v>29.1252</v>
      </c>
      <c r="J7" s="23">
        <v>519.98578999999995</v>
      </c>
      <c r="K7" s="24">
        <f>I7*J7*1000</f>
        <v>15144690.130907999</v>
      </c>
      <c r="L7" s="23">
        <v>0.21010000000000001</v>
      </c>
      <c r="M7" s="25">
        <f>F7*L7*1000</f>
        <v>3453909.9562000004</v>
      </c>
      <c r="N7" s="26">
        <v>1304.0999999999999</v>
      </c>
      <c r="O7" s="21">
        <f>3481243.48+27109.61</f>
        <v>3508353.09</v>
      </c>
      <c r="P7" s="104">
        <f>O7/D7</f>
        <v>2890.1500041189552</v>
      </c>
      <c r="Q7" s="21">
        <f>K7+M7</f>
        <v>18598600.087108001</v>
      </c>
      <c r="R7" s="21">
        <f>Q7*1.2</f>
        <v>22318320.104529601</v>
      </c>
      <c r="S7" s="21">
        <f>N7*F7</f>
        <v>21438571.984200001</v>
      </c>
      <c r="T7" s="70">
        <f>S7*1.2</f>
        <v>25726286.381039999</v>
      </c>
    </row>
    <row r="8" spans="1:20" s="29" customFormat="1" ht="15" customHeight="1" x14ac:dyDescent="0.2">
      <c r="A8" s="164" t="s">
        <v>26</v>
      </c>
      <c r="B8" s="17" t="s">
        <v>25</v>
      </c>
      <c r="C8" s="18"/>
      <c r="D8" s="19">
        <v>338.49700000000001</v>
      </c>
      <c r="E8" s="20"/>
      <c r="F8" s="18"/>
      <c r="G8" s="21"/>
      <c r="H8" s="21"/>
      <c r="I8" s="22"/>
      <c r="J8" s="23"/>
      <c r="K8" s="24"/>
      <c r="L8" s="23"/>
      <c r="M8" s="115"/>
      <c r="N8" s="26"/>
      <c r="O8" s="21">
        <v>967173.94</v>
      </c>
      <c r="P8" s="104">
        <f>O8/D8</f>
        <v>2857.2600052585399</v>
      </c>
      <c r="Q8" s="104"/>
      <c r="R8" s="104"/>
      <c r="S8" s="21"/>
      <c r="T8" s="70"/>
    </row>
    <row r="9" spans="1:20" s="81" customFormat="1" ht="15" customHeight="1" x14ac:dyDescent="0.2">
      <c r="A9" s="136" t="s">
        <v>27</v>
      </c>
      <c r="B9" s="146" t="s">
        <v>25</v>
      </c>
      <c r="C9" s="147">
        <v>17991.758999999998</v>
      </c>
      <c r="D9" s="144">
        <v>345.41500000000002</v>
      </c>
      <c r="E9" s="149">
        <f>(D7+D9)/C9</f>
        <v>8.6668290743556545E-2</v>
      </c>
      <c r="F9" s="147">
        <v>16432.444</v>
      </c>
      <c r="G9" s="142">
        <v>7266.5569999999998</v>
      </c>
      <c r="H9" s="142">
        <v>9165.8870000000006</v>
      </c>
      <c r="I9" s="151">
        <v>29.1252</v>
      </c>
      <c r="J9" s="152">
        <v>519.98578999999995</v>
      </c>
      <c r="K9" s="153">
        <f t="shared" ref="K9:K15" si="0">I9*J9*1000</f>
        <v>15144690.130907999</v>
      </c>
      <c r="L9" s="152">
        <v>0.21010000000000001</v>
      </c>
      <c r="M9" s="154">
        <f t="shared" ref="M9:M15" si="1">F9*L9*1000</f>
        <v>3452456.4844</v>
      </c>
      <c r="N9" s="155">
        <v>1304.0999999999999</v>
      </c>
      <c r="O9" s="142">
        <v>986940.46</v>
      </c>
      <c r="P9" s="145">
        <f>O9/D9</f>
        <v>2857.2599916043018</v>
      </c>
      <c r="Q9" s="142">
        <f t="shared" ref="Q9:Q15" si="2">K9+M9</f>
        <v>18597146.615307998</v>
      </c>
      <c r="R9" s="142">
        <f t="shared" ref="R9:R15" si="3">Q9*1.2</f>
        <v>22316575.938369598</v>
      </c>
      <c r="S9" s="142">
        <f t="shared" ref="S9:S15" si="4">N9*F9</f>
        <v>21429550.220399998</v>
      </c>
      <c r="T9" s="143">
        <f t="shared" ref="T9:T15" si="5">S9*1.2</f>
        <v>25715460.264479998</v>
      </c>
    </row>
    <row r="10" spans="1:20" ht="15" customHeight="1" x14ac:dyDescent="0.2">
      <c r="A10" s="30" t="s">
        <v>28</v>
      </c>
      <c r="B10" s="31" t="s">
        <v>24</v>
      </c>
      <c r="C10" s="32">
        <f>D10+F10</f>
        <v>16155.25</v>
      </c>
      <c r="D10" s="33">
        <v>851.9</v>
      </c>
      <c r="E10" s="34">
        <f>D10/C10</f>
        <v>5.2732083997462126E-2</v>
      </c>
      <c r="F10" s="32">
        <v>15303.35</v>
      </c>
      <c r="G10" s="27">
        <f>F10*0.4234</f>
        <v>6479.4383900000003</v>
      </c>
      <c r="H10" s="35">
        <f>F10-G10</f>
        <v>8823.9116099999992</v>
      </c>
      <c r="I10" s="36">
        <v>29.1252</v>
      </c>
      <c r="J10" s="37">
        <v>519.98578999999995</v>
      </c>
      <c r="K10" s="38">
        <f t="shared" si="0"/>
        <v>15144690.130907999</v>
      </c>
      <c r="L10" s="37">
        <v>0.21010000000000001</v>
      </c>
      <c r="M10" s="39">
        <f t="shared" si="1"/>
        <v>3215233.835</v>
      </c>
      <c r="N10" s="40">
        <v>1304.0999999999999</v>
      </c>
      <c r="O10" s="38"/>
      <c r="P10" s="139"/>
      <c r="Q10" s="27">
        <f t="shared" si="2"/>
        <v>18359923.965907998</v>
      </c>
      <c r="R10" s="27">
        <f t="shared" si="3"/>
        <v>22031908.759089597</v>
      </c>
      <c r="S10" s="27">
        <f t="shared" si="4"/>
        <v>19957098.734999999</v>
      </c>
      <c r="T10" s="28">
        <f t="shared" si="5"/>
        <v>23948518.481999997</v>
      </c>
    </row>
    <row r="11" spans="1:20" s="29" customFormat="1" ht="15" customHeight="1" x14ac:dyDescent="0.2">
      <c r="A11" s="176"/>
      <c r="B11" s="177" t="s">
        <v>25</v>
      </c>
      <c r="C11" s="18">
        <v>15770.323</v>
      </c>
      <c r="D11" s="65">
        <f>505.473+9.181</f>
        <v>514.654</v>
      </c>
      <c r="E11" s="20">
        <f>D11/C11</f>
        <v>3.2634334756491669E-2</v>
      </c>
      <c r="F11" s="18">
        <v>15255.669</v>
      </c>
      <c r="G11" s="21">
        <v>6560.6409999999996</v>
      </c>
      <c r="H11" s="46">
        <v>8695.0280000000002</v>
      </c>
      <c r="I11" s="22">
        <v>29.1252</v>
      </c>
      <c r="J11" s="23">
        <v>519.98578999999995</v>
      </c>
      <c r="K11" s="24">
        <f t="shared" si="0"/>
        <v>15144690.130907999</v>
      </c>
      <c r="L11" s="23">
        <v>0.21010000000000001</v>
      </c>
      <c r="M11" s="25">
        <f t="shared" si="1"/>
        <v>3205216.0569000002</v>
      </c>
      <c r="N11" s="26">
        <v>1304.0999999999999</v>
      </c>
      <c r="O11" s="24">
        <f>1596096.71+28990.2</f>
        <v>1625086.91</v>
      </c>
      <c r="P11" s="104">
        <f>O11/D11</f>
        <v>3157.6299999611388</v>
      </c>
      <c r="Q11" s="21">
        <f t="shared" si="2"/>
        <v>18349906.187808</v>
      </c>
      <c r="R11" s="21">
        <f t="shared" si="3"/>
        <v>22019887.425369598</v>
      </c>
      <c r="S11" s="21">
        <f t="shared" si="4"/>
        <v>19894917.942899998</v>
      </c>
      <c r="T11" s="70">
        <f t="shared" si="5"/>
        <v>23873901.531479996</v>
      </c>
    </row>
    <row r="12" spans="1:20" ht="15" customHeight="1" x14ac:dyDescent="0.2">
      <c r="A12" s="178" t="s">
        <v>29</v>
      </c>
      <c r="B12" s="31" t="s">
        <v>25</v>
      </c>
      <c r="C12" s="32">
        <v>15770.323</v>
      </c>
      <c r="D12" s="33">
        <f>508.336+9.181</f>
        <v>517.51700000000005</v>
      </c>
      <c r="E12" s="34">
        <f>D12/C12</f>
        <v>3.2815878279728324E-2</v>
      </c>
      <c r="F12" s="32">
        <v>15252.806</v>
      </c>
      <c r="G12" s="27">
        <v>6560.6409999999996</v>
      </c>
      <c r="H12" s="35">
        <v>8692.1650000000009</v>
      </c>
      <c r="I12" s="36">
        <v>29.1252</v>
      </c>
      <c r="J12" s="37">
        <v>519.98578999999995</v>
      </c>
      <c r="K12" s="38">
        <f t="shared" si="0"/>
        <v>15144690.130907999</v>
      </c>
      <c r="L12" s="37">
        <v>0.21010000000000001</v>
      </c>
      <c r="M12" s="39">
        <f t="shared" si="1"/>
        <v>3204614.5405999999</v>
      </c>
      <c r="N12" s="40">
        <v>1304.0999999999999</v>
      </c>
      <c r="O12" s="38">
        <f>1605137+28990.2</f>
        <v>1634127.2</v>
      </c>
      <c r="P12" s="138">
        <f>O12/D12</f>
        <v>3157.6299908988494</v>
      </c>
      <c r="Q12" s="27">
        <f t="shared" si="2"/>
        <v>18349304.671507999</v>
      </c>
      <c r="R12" s="27">
        <f t="shared" si="3"/>
        <v>22019165.605809599</v>
      </c>
      <c r="S12" s="27">
        <f t="shared" si="4"/>
        <v>19891184.3046</v>
      </c>
      <c r="T12" s="28">
        <f t="shared" si="5"/>
        <v>23869421.165520001</v>
      </c>
    </row>
    <row r="13" spans="1:20" s="81" customFormat="1" ht="15" customHeight="1" x14ac:dyDescent="0.2">
      <c r="A13" s="136" t="s">
        <v>30</v>
      </c>
      <c r="B13" s="146" t="s">
        <v>25</v>
      </c>
      <c r="C13" s="147">
        <v>15770.323</v>
      </c>
      <c r="D13" s="148">
        <f>515.737+9.181</f>
        <v>524.91800000000001</v>
      </c>
      <c r="E13" s="149">
        <f>D13/C13</f>
        <v>3.3285177481780177E-2</v>
      </c>
      <c r="F13" s="147">
        <v>15245.405000000001</v>
      </c>
      <c r="G13" s="142">
        <v>6556.9639999999999</v>
      </c>
      <c r="H13" s="150">
        <v>8688.4410000000007</v>
      </c>
      <c r="I13" s="151">
        <v>29.1252</v>
      </c>
      <c r="J13" s="152">
        <v>519.98578999999995</v>
      </c>
      <c r="K13" s="153">
        <f t="shared" si="0"/>
        <v>15144690.130907999</v>
      </c>
      <c r="L13" s="152">
        <v>0.21010000000000001</v>
      </c>
      <c r="M13" s="154">
        <f t="shared" si="1"/>
        <v>3203059.5905000004</v>
      </c>
      <c r="N13" s="155">
        <v>1304.0999999999999</v>
      </c>
      <c r="O13" s="153">
        <f>1628506.62+28990.2</f>
        <v>1657496.82</v>
      </c>
      <c r="P13" s="145">
        <f>O13/D13</f>
        <v>3157.6299917320421</v>
      </c>
      <c r="Q13" s="142">
        <f t="shared" si="2"/>
        <v>18347749.721407998</v>
      </c>
      <c r="R13" s="142">
        <f t="shared" si="3"/>
        <v>22017299.665689599</v>
      </c>
      <c r="S13" s="142">
        <f t="shared" si="4"/>
        <v>19881532.660500001</v>
      </c>
      <c r="T13" s="143">
        <f t="shared" si="5"/>
        <v>23857839.192600001</v>
      </c>
    </row>
    <row r="14" spans="1:20" ht="15" customHeight="1" x14ac:dyDescent="0.2">
      <c r="A14" s="30" t="s">
        <v>31</v>
      </c>
      <c r="B14" s="31" t="s">
        <v>24</v>
      </c>
      <c r="C14" s="32">
        <f>D14+F14</f>
        <v>16063</v>
      </c>
      <c r="D14" s="41">
        <v>1473.5</v>
      </c>
      <c r="E14" s="34">
        <f>D14/C14</f>
        <v>9.17325530722779E-2</v>
      </c>
      <c r="F14" s="32">
        <v>14589.5</v>
      </c>
      <c r="G14" s="27">
        <f>F14*0.4234</f>
        <v>6177.1943000000001</v>
      </c>
      <c r="H14" s="35">
        <f>F14-G14</f>
        <v>8412.3057000000008</v>
      </c>
      <c r="I14" s="36">
        <v>29.1252</v>
      </c>
      <c r="J14" s="37">
        <v>519.98578999999995</v>
      </c>
      <c r="K14" s="38">
        <f t="shared" si="0"/>
        <v>15144690.130907999</v>
      </c>
      <c r="L14" s="37">
        <v>0.21010000000000001</v>
      </c>
      <c r="M14" s="39">
        <f t="shared" si="1"/>
        <v>3065253.95</v>
      </c>
      <c r="N14" s="40">
        <v>1304.0999999999999</v>
      </c>
      <c r="O14" s="38"/>
      <c r="P14" s="139"/>
      <c r="Q14" s="27">
        <f t="shared" si="2"/>
        <v>18209944.080908</v>
      </c>
      <c r="R14" s="27">
        <f t="shared" si="3"/>
        <v>21851932.897089601</v>
      </c>
      <c r="S14" s="27">
        <f t="shared" si="4"/>
        <v>19026166.949999999</v>
      </c>
      <c r="T14" s="28">
        <f t="shared" si="5"/>
        <v>22831400.34</v>
      </c>
    </row>
    <row r="15" spans="1:20" s="29" customFormat="1" ht="15" customHeight="1" x14ac:dyDescent="0.2">
      <c r="A15" s="16"/>
      <c r="B15" s="17" t="s">
        <v>25</v>
      </c>
      <c r="C15" s="18">
        <v>16836.007000000001</v>
      </c>
      <c r="D15" s="19">
        <f>D14</f>
        <v>1473.5</v>
      </c>
      <c r="E15" s="20">
        <f>(D15+D16)/C15</f>
        <v>0.11811672447035688</v>
      </c>
      <c r="F15" s="18">
        <f>G15+H15</f>
        <v>14847.393</v>
      </c>
      <c r="G15" s="21">
        <v>6790.9129999999996</v>
      </c>
      <c r="H15" s="21">
        <v>8056.48</v>
      </c>
      <c r="I15" s="22">
        <v>29.1252</v>
      </c>
      <c r="J15" s="23">
        <v>519.98578999999995</v>
      </c>
      <c r="K15" s="24">
        <f t="shared" si="0"/>
        <v>15144690.130907999</v>
      </c>
      <c r="L15" s="23">
        <v>0.21010000000000001</v>
      </c>
      <c r="M15" s="25">
        <f t="shared" si="1"/>
        <v>3119437.2692999998</v>
      </c>
      <c r="N15" s="26">
        <v>1304.0999999999999</v>
      </c>
      <c r="O15" s="21">
        <f>29243.1+4239176.97</f>
        <v>4268420.0699999994</v>
      </c>
      <c r="P15" s="104">
        <f>O15/D15</f>
        <v>2896.790003393281</v>
      </c>
      <c r="Q15" s="21">
        <f t="shared" si="2"/>
        <v>18264127.400208</v>
      </c>
      <c r="R15" s="21">
        <f t="shared" si="3"/>
        <v>21916952.880249601</v>
      </c>
      <c r="S15" s="21">
        <f t="shared" si="4"/>
        <v>19362485.211300001</v>
      </c>
      <c r="T15" s="70">
        <f t="shared" si="5"/>
        <v>23234982.253559999</v>
      </c>
    </row>
    <row r="16" spans="1:20" s="29" customFormat="1" ht="15" customHeight="1" x14ac:dyDescent="0.2">
      <c r="A16" s="164" t="s">
        <v>26</v>
      </c>
      <c r="B16" s="17" t="s">
        <v>25</v>
      </c>
      <c r="C16" s="18"/>
      <c r="D16" s="19">
        <f>1988.614-D15</f>
        <v>515.11400000000003</v>
      </c>
      <c r="E16" s="20"/>
      <c r="F16" s="18"/>
      <c r="G16" s="21"/>
      <c r="H16" s="21"/>
      <c r="I16" s="22"/>
      <c r="J16" s="23"/>
      <c r="K16" s="24"/>
      <c r="L16" s="23"/>
      <c r="M16" s="115"/>
      <c r="N16" s="26"/>
      <c r="O16" s="21">
        <v>1475234.98</v>
      </c>
      <c r="P16" s="104">
        <f>O16/D16</f>
        <v>2863.8999910699376</v>
      </c>
      <c r="Q16" s="104"/>
      <c r="R16" s="104"/>
      <c r="S16" s="21"/>
      <c r="T16" s="70"/>
    </row>
    <row r="17" spans="1:20" ht="15" customHeight="1" x14ac:dyDescent="0.2">
      <c r="A17" s="178" t="s">
        <v>29</v>
      </c>
      <c r="B17" s="31" t="s">
        <v>25</v>
      </c>
      <c r="C17" s="32">
        <v>16836.007000000001</v>
      </c>
      <c r="D17" s="41">
        <v>517.50400000000002</v>
      </c>
      <c r="E17" s="34">
        <f>(D17+D15)/C17</f>
        <v>0.11825868212100409</v>
      </c>
      <c r="F17" s="32">
        <v>14845.003000000001</v>
      </c>
      <c r="G17" s="27">
        <v>6790.9129999999996</v>
      </c>
      <c r="H17" s="27">
        <v>8054.09</v>
      </c>
      <c r="I17" s="36">
        <v>29.1252</v>
      </c>
      <c r="J17" s="37">
        <v>519.98578999999995</v>
      </c>
      <c r="K17" s="38">
        <f>I17*J17*1000</f>
        <v>15144690.130907999</v>
      </c>
      <c r="L17" s="37">
        <v>0.21010000000000001</v>
      </c>
      <c r="M17" s="39">
        <f>F17*L17*1000</f>
        <v>3118935.1303000003</v>
      </c>
      <c r="N17" s="40">
        <v>1304.0999999999999</v>
      </c>
      <c r="O17" s="27">
        <v>1482079.71</v>
      </c>
      <c r="P17" s="138">
        <f>O17/D17</f>
        <v>2863.9000085023495</v>
      </c>
      <c r="Q17" s="27">
        <f>K17+M17</f>
        <v>18263625.261207998</v>
      </c>
      <c r="R17" s="27">
        <f>Q17*1.2</f>
        <v>21916350.313449595</v>
      </c>
      <c r="S17" s="27">
        <f>N17*F17</f>
        <v>19359368.412299998</v>
      </c>
      <c r="T17" s="28">
        <f>S17*1.2</f>
        <v>23231242.094759997</v>
      </c>
    </row>
    <row r="18" spans="1:20" s="81" customFormat="1" ht="15" customHeight="1" thickBot="1" x14ac:dyDescent="0.25">
      <c r="A18" s="185" t="s">
        <v>30</v>
      </c>
      <c r="B18" s="186" t="s">
        <v>25</v>
      </c>
      <c r="C18" s="187">
        <v>16836.007000000001</v>
      </c>
      <c r="D18" s="188">
        <v>524.005</v>
      </c>
      <c r="E18" s="189">
        <f>(D18+D15)/C18</f>
        <v>0.11864481881006583</v>
      </c>
      <c r="F18" s="187">
        <v>14838.502</v>
      </c>
      <c r="G18" s="190">
        <v>6787.9939999999997</v>
      </c>
      <c r="H18" s="190">
        <v>8050.5079999999998</v>
      </c>
      <c r="I18" s="157">
        <v>29.1252</v>
      </c>
      <c r="J18" s="191">
        <v>519.98578999999995</v>
      </c>
      <c r="K18" s="192">
        <f>I18*J18*1000</f>
        <v>15144690.130907999</v>
      </c>
      <c r="L18" s="191">
        <v>0.21010000000000001</v>
      </c>
      <c r="M18" s="193">
        <f>F18*L18*1000</f>
        <v>3117569.2702000001</v>
      </c>
      <c r="N18" s="194">
        <v>1304.0999999999999</v>
      </c>
      <c r="O18" s="190">
        <v>1500697.92</v>
      </c>
      <c r="P18" s="195">
        <f>O18/D18</f>
        <v>2863.9000009541892</v>
      </c>
      <c r="Q18" s="190">
        <f>K18+M18</f>
        <v>18262259.401108</v>
      </c>
      <c r="R18" s="190">
        <f>Q18*1.2</f>
        <v>21914711.281329598</v>
      </c>
      <c r="S18" s="190">
        <f>N18*F18</f>
        <v>19350890.4582</v>
      </c>
      <c r="T18" s="196">
        <f>S18*1.2</f>
        <v>23221068.54984</v>
      </c>
    </row>
    <row r="19" spans="1:20" ht="15" customHeight="1" x14ac:dyDescent="0.2">
      <c r="A19" s="179" t="s">
        <v>32</v>
      </c>
      <c r="B19" s="71" t="s">
        <v>24</v>
      </c>
      <c r="C19" s="80">
        <f>C6+C10+C14</f>
        <v>49517.58</v>
      </c>
      <c r="D19" s="73">
        <f>D6+D10+D14</f>
        <v>3539.3</v>
      </c>
      <c r="E19" s="74">
        <f>D19/C19</f>
        <v>7.1475625424344241E-2</v>
      </c>
      <c r="F19" s="80">
        <f>F6+F10+F14</f>
        <v>45978.28</v>
      </c>
      <c r="G19" s="80">
        <f>G6+G10+G14</f>
        <v>19467.203752000001</v>
      </c>
      <c r="H19" s="80">
        <f>H6+H10+H14</f>
        <v>26511.076248000001</v>
      </c>
      <c r="I19" s="75">
        <v>29.1252</v>
      </c>
      <c r="J19" s="76">
        <v>519.98578999999995</v>
      </c>
      <c r="K19" s="180">
        <f>K6+K10+K14</f>
        <v>45434070.392724</v>
      </c>
      <c r="L19" s="76">
        <f>L14</f>
        <v>0.21010000000000001</v>
      </c>
      <c r="M19" s="79">
        <f>M6+M10+M14</f>
        <v>9660036.6279999986</v>
      </c>
      <c r="N19" s="181">
        <f>N14</f>
        <v>1304.0999999999999</v>
      </c>
      <c r="O19" s="80"/>
      <c r="P19" s="180"/>
      <c r="Q19" s="80">
        <f>Q6+Q10+Q14</f>
        <v>55094107.020723999</v>
      </c>
      <c r="R19" s="80">
        <f>R6+R10+R14</f>
        <v>66112928.424868792</v>
      </c>
      <c r="S19" s="80">
        <f>S6+S10+S14</f>
        <v>59960274.947999999</v>
      </c>
      <c r="T19" s="182">
        <f>T6+T10+T14</f>
        <v>71952329.937600002</v>
      </c>
    </row>
    <row r="20" spans="1:20" s="29" customFormat="1" ht="15" customHeight="1" thickBot="1" x14ac:dyDescent="0.25">
      <c r="A20" s="49"/>
      <c r="B20" s="50" t="s">
        <v>25</v>
      </c>
      <c r="C20" s="60">
        <f>C7+C11+C15</f>
        <v>50598.088999999993</v>
      </c>
      <c r="D20" s="60">
        <f>D7+D9+D13+D15+D18</f>
        <v>4081.7380000000003</v>
      </c>
      <c r="E20" s="53">
        <f>D20/C20</f>
        <v>8.0669805533564731E-2</v>
      </c>
      <c r="F20" s="60">
        <f>F9+F13+F18</f>
        <v>46516.351000000002</v>
      </c>
      <c r="G20" s="60">
        <f>G9+G13+G18</f>
        <v>20611.514999999999</v>
      </c>
      <c r="H20" s="60">
        <f>H9+H13+H18</f>
        <v>25904.836000000003</v>
      </c>
      <c r="I20" s="55">
        <v>29.1252</v>
      </c>
      <c r="J20" s="56">
        <v>519.98578999999995</v>
      </c>
      <c r="K20" s="116">
        <f>K9+K13+K18</f>
        <v>45434070.392724</v>
      </c>
      <c r="L20" s="56">
        <f>L15</f>
        <v>0.21010000000000001</v>
      </c>
      <c r="M20" s="58">
        <f>M9+M13+M18</f>
        <v>9773085.3451000005</v>
      </c>
      <c r="N20" s="59">
        <f>N15</f>
        <v>1304.0999999999999</v>
      </c>
      <c r="O20" s="60">
        <f>O7+O9+O13+O15+O18</f>
        <v>11921908.359999999</v>
      </c>
      <c r="P20" s="116">
        <f>O20/D20</f>
        <v>2920.792162554284</v>
      </c>
      <c r="Q20" s="60">
        <f>Q9+Q13+Q18</f>
        <v>55207155.737823993</v>
      </c>
      <c r="R20" s="60">
        <f>R9+R13+R18</f>
        <v>66248586.885388792</v>
      </c>
      <c r="S20" s="60">
        <f>S9+S13+S18</f>
        <v>60661973.339099996</v>
      </c>
      <c r="T20" s="61">
        <f>T9+T13+T18</f>
        <v>72794368.006919995</v>
      </c>
    </row>
    <row r="21" spans="1:20" s="44" customFormat="1" ht="15" customHeight="1" x14ac:dyDescent="0.2">
      <c r="A21" s="42" t="s">
        <v>33</v>
      </c>
      <c r="B21" s="3" t="s">
        <v>24</v>
      </c>
      <c r="C21" s="4">
        <f>D21+F21</f>
        <v>13891.12</v>
      </c>
      <c r="D21" s="5">
        <v>687.6</v>
      </c>
      <c r="E21" s="6">
        <f>D21/C21</f>
        <v>4.9499248440730483E-2</v>
      </c>
      <c r="F21" s="4">
        <v>13203.52</v>
      </c>
      <c r="G21" s="43">
        <f>F21*0.4234</f>
        <v>5590.3703679999999</v>
      </c>
      <c r="H21" s="43">
        <f>F21-G21</f>
        <v>7613.1496320000006</v>
      </c>
      <c r="I21" s="8">
        <v>29.1252</v>
      </c>
      <c r="J21" s="9">
        <v>519.98578999999995</v>
      </c>
      <c r="K21" s="10">
        <f>I21*J21*1000</f>
        <v>15144690.130907999</v>
      </c>
      <c r="L21" s="9">
        <v>0.21010000000000001</v>
      </c>
      <c r="M21" s="11">
        <f>F21*L21*1000</f>
        <v>2774059.5520000001</v>
      </c>
      <c r="N21" s="12">
        <v>1304.0999999999999</v>
      </c>
      <c r="O21" s="7"/>
      <c r="P21" s="13"/>
      <c r="Q21" s="7">
        <f>K21+M21</f>
        <v>17918749.682907999</v>
      </c>
      <c r="R21" s="4">
        <f>Q21*1.2</f>
        <v>21502499.619489599</v>
      </c>
      <c r="S21" s="7">
        <f>N21*F21</f>
        <v>17218710.432</v>
      </c>
      <c r="T21" s="64">
        <f>S21*1.2</f>
        <v>20662452.518399999</v>
      </c>
    </row>
    <row r="22" spans="1:20" s="47" customFormat="1" ht="15" customHeight="1" x14ac:dyDescent="0.2">
      <c r="A22" s="45"/>
      <c r="B22" s="17" t="s">
        <v>25</v>
      </c>
      <c r="C22" s="18">
        <v>15361.171</v>
      </c>
      <c r="D22" s="19">
        <v>687.6</v>
      </c>
      <c r="E22" s="20">
        <f>(D22+D23)/C22</f>
        <v>6.280042061897495E-2</v>
      </c>
      <c r="F22" s="18">
        <v>14396.483</v>
      </c>
      <c r="G22" s="46">
        <v>6291.4309999999996</v>
      </c>
      <c r="H22" s="46">
        <v>8105.0519999999997</v>
      </c>
      <c r="I22" s="22">
        <v>29.1252</v>
      </c>
      <c r="J22" s="23">
        <v>519.98578999999995</v>
      </c>
      <c r="K22" s="24">
        <f>I22*J22*1000</f>
        <v>15144690.130907999</v>
      </c>
      <c r="L22" s="23">
        <v>0.21010000000000001</v>
      </c>
      <c r="M22" s="25">
        <f>F22*L22*1000</f>
        <v>3024701.0783000002</v>
      </c>
      <c r="N22" s="26">
        <v>1304.0999999999999</v>
      </c>
      <c r="O22" s="21">
        <f>P22*D22</f>
        <v>2072880.216</v>
      </c>
      <c r="P22" s="104">
        <v>3014.66</v>
      </c>
      <c r="Q22" s="21">
        <f>K22+M22</f>
        <v>18169391.209208</v>
      </c>
      <c r="R22" s="21">
        <f>Q22*1.2</f>
        <v>21803269.4510496</v>
      </c>
      <c r="S22" s="21">
        <f>N22*F22</f>
        <v>18774453.480299998</v>
      </c>
      <c r="T22" s="70">
        <f>S22*1.2</f>
        <v>22529344.176359996</v>
      </c>
    </row>
    <row r="23" spans="1:20" s="29" customFormat="1" ht="15" customHeight="1" x14ac:dyDescent="0.2">
      <c r="A23" s="164" t="s">
        <v>26</v>
      </c>
      <c r="B23" s="17" t="s">
        <v>25</v>
      </c>
      <c r="C23" s="18"/>
      <c r="D23" s="19">
        <v>277.08800000000002</v>
      </c>
      <c r="E23" s="20"/>
      <c r="F23" s="18"/>
      <c r="G23" s="21"/>
      <c r="H23" s="21"/>
      <c r="I23" s="22"/>
      <c r="J23" s="23"/>
      <c r="K23" s="24"/>
      <c r="L23" s="23"/>
      <c r="M23" s="25"/>
      <c r="N23" s="26"/>
      <c r="O23" s="21">
        <f>P23*D23</f>
        <v>826212.68576000002</v>
      </c>
      <c r="P23" s="104">
        <v>2981.77</v>
      </c>
      <c r="Q23" s="104"/>
      <c r="R23" s="104"/>
      <c r="S23" s="21"/>
      <c r="T23" s="70"/>
    </row>
    <row r="24" spans="1:20" s="81" customFormat="1" ht="15" customHeight="1" x14ac:dyDescent="0.2">
      <c r="A24" s="136" t="s">
        <v>27</v>
      </c>
      <c r="B24" s="146" t="s">
        <v>25</v>
      </c>
      <c r="C24" s="147">
        <v>15361.171</v>
      </c>
      <c r="D24" s="144">
        <v>277.66699999999997</v>
      </c>
      <c r="E24" s="149">
        <f>(D24+D22)/C24</f>
        <v>6.2838113057917269E-2</v>
      </c>
      <c r="F24" s="147">
        <v>14395.904</v>
      </c>
      <c r="G24" s="142">
        <v>6291.4309999999996</v>
      </c>
      <c r="H24" s="142">
        <v>8104.473</v>
      </c>
      <c r="I24" s="151">
        <v>29.1252</v>
      </c>
      <c r="J24" s="152">
        <v>519.98578999999995</v>
      </c>
      <c r="K24" s="153">
        <f>I24*J24*1000</f>
        <v>15144690.130907999</v>
      </c>
      <c r="L24" s="152">
        <v>0.21010000000000001</v>
      </c>
      <c r="M24" s="154">
        <f>F24*L24*1000</f>
        <v>3024579.4304</v>
      </c>
      <c r="N24" s="155">
        <v>1304.0999999999999</v>
      </c>
      <c r="O24" s="142">
        <v>827939.13</v>
      </c>
      <c r="P24" s="145">
        <f>O24/D24</f>
        <v>2981.769997875153</v>
      </c>
      <c r="Q24" s="142">
        <f>K24+M24</f>
        <v>18169269.561308</v>
      </c>
      <c r="R24" s="142">
        <f>Q24*1.2</f>
        <v>21803123.473569598</v>
      </c>
      <c r="S24" s="142">
        <f>N24*F24</f>
        <v>18773698.406399999</v>
      </c>
      <c r="T24" s="143">
        <f>S24*1.2</f>
        <v>22528438.087679997</v>
      </c>
    </row>
    <row r="25" spans="1:20" s="44" customFormat="1" ht="15" customHeight="1" x14ac:dyDescent="0.2">
      <c r="A25" s="48" t="s">
        <v>34</v>
      </c>
      <c r="B25" s="31" t="s">
        <v>24</v>
      </c>
      <c r="C25" s="32">
        <f>D25+F25</f>
        <v>12415.15</v>
      </c>
      <c r="D25" s="27">
        <v>952.1</v>
      </c>
      <c r="E25" s="34">
        <f>D25/C25</f>
        <v>7.6688561958574805E-2</v>
      </c>
      <c r="F25" s="32">
        <v>11463.05</v>
      </c>
      <c r="G25" s="35">
        <f>F25*0.4234</f>
        <v>4853.4553699999997</v>
      </c>
      <c r="H25" s="35">
        <f>F25-G25</f>
        <v>6609.5946299999996</v>
      </c>
      <c r="I25" s="36">
        <v>29.1252</v>
      </c>
      <c r="J25" s="37">
        <v>519.98578999999995</v>
      </c>
      <c r="K25" s="38">
        <f>I25*J25*1000</f>
        <v>15144690.130907999</v>
      </c>
      <c r="L25" s="37">
        <v>0.21010000000000001</v>
      </c>
      <c r="M25" s="39">
        <f>F25*L25*1000</f>
        <v>2408386.8050000002</v>
      </c>
      <c r="N25" s="40">
        <v>1304.0999999999999</v>
      </c>
      <c r="O25" s="27"/>
      <c r="P25" s="38"/>
      <c r="Q25" s="27">
        <f>K25+M25</f>
        <v>17553076.935908001</v>
      </c>
      <c r="R25" s="32">
        <f>Q25*1.2</f>
        <v>21063692.3230896</v>
      </c>
      <c r="S25" s="27">
        <f>N25*F25</f>
        <v>14948963.504999997</v>
      </c>
      <c r="T25" s="69">
        <f>S25*1.2</f>
        <v>17938756.205999997</v>
      </c>
    </row>
    <row r="26" spans="1:20" s="47" customFormat="1" ht="15" customHeight="1" x14ac:dyDescent="0.2">
      <c r="A26" s="45"/>
      <c r="B26" s="17" t="s">
        <v>25</v>
      </c>
      <c r="C26" s="18">
        <v>14322.18</v>
      </c>
      <c r="D26" s="21">
        <f>D25</f>
        <v>952.1</v>
      </c>
      <c r="E26" s="20">
        <f>(D26+D27)/C26</f>
        <v>8.608270528648572E-2</v>
      </c>
      <c r="F26" s="18">
        <v>13089.288</v>
      </c>
      <c r="G26" s="46">
        <v>5406.7879999999996</v>
      </c>
      <c r="H26" s="46">
        <v>7682.5</v>
      </c>
      <c r="I26" s="22">
        <v>29.1252</v>
      </c>
      <c r="J26" s="23">
        <v>519.98578999999995</v>
      </c>
      <c r="K26" s="24">
        <f>I26*J26*1000</f>
        <v>15144690.130907999</v>
      </c>
      <c r="L26" s="23">
        <v>0.21010000000000001</v>
      </c>
      <c r="M26" s="25">
        <f>F26*L26*1000</f>
        <v>2750059.4088000003</v>
      </c>
      <c r="N26" s="26">
        <v>1304.0999999999999</v>
      </c>
      <c r="O26" s="21">
        <f>P26*D26</f>
        <v>2709152.9449999998</v>
      </c>
      <c r="P26" s="104">
        <v>2845.45</v>
      </c>
      <c r="Q26" s="21">
        <f>K26+M26</f>
        <v>17894749.539708</v>
      </c>
      <c r="R26" s="21">
        <f>Q26*1.2</f>
        <v>21473699.447649598</v>
      </c>
      <c r="S26" s="21">
        <f>N26*F26</f>
        <v>17069740.480799999</v>
      </c>
      <c r="T26" s="70">
        <f>S26*1.2</f>
        <v>20483688.576959997</v>
      </c>
    </row>
    <row r="27" spans="1:20" s="29" customFormat="1" ht="15" customHeight="1" x14ac:dyDescent="0.2">
      <c r="A27" s="164" t="s">
        <v>26</v>
      </c>
      <c r="B27" s="17" t="s">
        <v>25</v>
      </c>
      <c r="C27" s="18"/>
      <c r="D27" s="19">
        <f>1232.892-D26</f>
        <v>280.79200000000003</v>
      </c>
      <c r="E27" s="20"/>
      <c r="F27" s="18"/>
      <c r="G27" s="21"/>
      <c r="H27" s="21"/>
      <c r="I27" s="22"/>
      <c r="J27" s="23"/>
      <c r="K27" s="24"/>
      <c r="L27" s="23"/>
      <c r="M27" s="25"/>
      <c r="N27" s="26"/>
      <c r="O27" s="21">
        <f>P27*D27</f>
        <v>789744.34752000007</v>
      </c>
      <c r="P27" s="104">
        <v>2812.56</v>
      </c>
      <c r="Q27" s="104"/>
      <c r="R27" s="104"/>
      <c r="S27" s="21"/>
      <c r="T27" s="70"/>
    </row>
    <row r="28" spans="1:20" s="81" customFormat="1" ht="15" customHeight="1" x14ac:dyDescent="0.2">
      <c r="A28" s="136" t="s">
        <v>27</v>
      </c>
      <c r="B28" s="146" t="s">
        <v>25</v>
      </c>
      <c r="C28" s="147">
        <v>14322.18</v>
      </c>
      <c r="D28" s="144">
        <v>281.37099999999998</v>
      </c>
      <c r="E28" s="149">
        <f>(D26+D28)/C28</f>
        <v>8.6123132093019361E-2</v>
      </c>
      <c r="F28" s="147">
        <v>13088.709000000001</v>
      </c>
      <c r="G28" s="142">
        <v>5406.7879999999996</v>
      </c>
      <c r="H28" s="142">
        <v>7681.9210000000003</v>
      </c>
      <c r="I28" s="151">
        <v>29.1252</v>
      </c>
      <c r="J28" s="152">
        <v>519.98578999999995</v>
      </c>
      <c r="K28" s="153">
        <f>I28*J28*1000</f>
        <v>15144690.130907999</v>
      </c>
      <c r="L28" s="152">
        <v>0.21010000000000001</v>
      </c>
      <c r="M28" s="154">
        <f>F28*L28*1000</f>
        <v>2749937.7609000001</v>
      </c>
      <c r="N28" s="155">
        <v>1304.0999999999999</v>
      </c>
      <c r="O28" s="142">
        <v>791372.82</v>
      </c>
      <c r="P28" s="145">
        <f>O28/D28</f>
        <v>2812.5600008529664</v>
      </c>
      <c r="Q28" s="142">
        <f>K28+M28</f>
        <v>17894627.891807999</v>
      </c>
      <c r="R28" s="142">
        <f>Q28*1.2</f>
        <v>21473553.4701696</v>
      </c>
      <c r="S28" s="142">
        <f>N28*F28</f>
        <v>17068985.4069</v>
      </c>
      <c r="T28" s="143">
        <f>S28*1.2</f>
        <v>20482782.488279998</v>
      </c>
    </row>
    <row r="29" spans="1:20" ht="15" customHeight="1" x14ac:dyDescent="0.2">
      <c r="A29" s="30" t="s">
        <v>35</v>
      </c>
      <c r="B29" s="31" t="s">
        <v>24</v>
      </c>
      <c r="C29" s="32">
        <f>D29+F29</f>
        <v>12860.6268</v>
      </c>
      <c r="D29" s="33">
        <v>444.9</v>
      </c>
      <c r="E29" s="34">
        <f t="shared" ref="E29:E60" si="6">D29/C29</f>
        <v>3.4593959292870548E-2</v>
      </c>
      <c r="F29" s="32">
        <f>11340.4+1075.3268</f>
        <v>12415.7268</v>
      </c>
      <c r="G29" s="35">
        <f>F29*0.4234</f>
        <v>5256.8187271200004</v>
      </c>
      <c r="H29" s="35">
        <f>F29-G29</f>
        <v>7158.90807288</v>
      </c>
      <c r="I29" s="36">
        <v>29.1252</v>
      </c>
      <c r="J29" s="37">
        <v>519.98578999999995</v>
      </c>
      <c r="K29" s="38">
        <f>I29*J29*1000</f>
        <v>15144690.130907999</v>
      </c>
      <c r="L29" s="37">
        <v>0.21010000000000001</v>
      </c>
      <c r="M29" s="39">
        <f>F29*L29*1000</f>
        <v>2608544.2006800002</v>
      </c>
      <c r="N29" s="40">
        <v>1304.0999999999999</v>
      </c>
      <c r="O29" s="38"/>
      <c r="P29" s="139"/>
      <c r="Q29" s="27">
        <f>K29+M29</f>
        <v>17753234.331588</v>
      </c>
      <c r="R29" s="32">
        <f>Q29*1.2</f>
        <v>21303881.1979056</v>
      </c>
      <c r="S29" s="27">
        <f>N29*F29</f>
        <v>16191349.319879999</v>
      </c>
      <c r="T29" s="240">
        <f>S29*1.2</f>
        <v>19429619.183855999</v>
      </c>
    </row>
    <row r="30" spans="1:20" s="29" customFormat="1" ht="15" customHeight="1" thickBot="1" x14ac:dyDescent="0.25">
      <c r="A30" s="49"/>
      <c r="B30" s="50" t="s">
        <v>25</v>
      </c>
      <c r="C30" s="51">
        <v>12570.194</v>
      </c>
      <c r="D30" s="52">
        <v>275.21199999999999</v>
      </c>
      <c r="E30" s="53">
        <f>D30/C30</f>
        <v>2.1894013728029973E-2</v>
      </c>
      <c r="F30" s="51">
        <v>12294.982</v>
      </c>
      <c r="G30" s="54">
        <v>4966.7629999999999</v>
      </c>
      <c r="H30" s="54">
        <v>7328.2190000000001</v>
      </c>
      <c r="I30" s="55">
        <v>29.1252</v>
      </c>
      <c r="J30" s="56">
        <v>519.98578999999995</v>
      </c>
      <c r="K30" s="57">
        <f>I30*J30*1000</f>
        <v>15144690.130907999</v>
      </c>
      <c r="L30" s="56">
        <v>0.21010000000000001</v>
      </c>
      <c r="M30" s="58">
        <f>F30*L30*1000</f>
        <v>2583175.7182</v>
      </c>
      <c r="N30" s="59">
        <f>N29</f>
        <v>1304.0999999999999</v>
      </c>
      <c r="O30" s="60">
        <f>P30*D30</f>
        <v>859514.59719999996</v>
      </c>
      <c r="P30" s="116">
        <v>3123.1</v>
      </c>
      <c r="Q30" s="60">
        <f>K30+M30</f>
        <v>17727865.849107999</v>
      </c>
      <c r="R30" s="60">
        <f>Q30*1.2</f>
        <v>21273439.018929597</v>
      </c>
      <c r="S30" s="60">
        <f>N30*F30</f>
        <v>16033886.026199998</v>
      </c>
      <c r="T30" s="61">
        <f>S30*1.2</f>
        <v>19240663.231439997</v>
      </c>
    </row>
    <row r="31" spans="1:20" ht="15" customHeight="1" x14ac:dyDescent="0.2">
      <c r="A31" s="2" t="s">
        <v>36</v>
      </c>
      <c r="B31" s="3" t="s">
        <v>24</v>
      </c>
      <c r="C31" s="7">
        <f>C21+C25+C29</f>
        <v>39166.896800000002</v>
      </c>
      <c r="D31" s="7">
        <f>D21+D25+D29</f>
        <v>2084.6</v>
      </c>
      <c r="E31" s="6">
        <f t="shared" si="6"/>
        <v>5.322351705943678E-2</v>
      </c>
      <c r="F31" s="7">
        <f>F21+F25+F29</f>
        <v>37082.296799999996</v>
      </c>
      <c r="G31" s="4">
        <f>G21+G25+G29</f>
        <v>15700.64446512</v>
      </c>
      <c r="H31" s="4">
        <f>H21+H25+H29</f>
        <v>21381.65233488</v>
      </c>
      <c r="I31" s="8">
        <v>29.1252</v>
      </c>
      <c r="J31" s="9">
        <v>519.98578999999995</v>
      </c>
      <c r="K31" s="10">
        <f>K21+K25+K29</f>
        <v>45434070.392724</v>
      </c>
      <c r="L31" s="9">
        <f>L29</f>
        <v>0.21010000000000001</v>
      </c>
      <c r="M31" s="11">
        <f>M21+M25+M29</f>
        <v>7790990.5576800015</v>
      </c>
      <c r="N31" s="12">
        <f>N29</f>
        <v>1304.0999999999999</v>
      </c>
      <c r="O31" s="10"/>
      <c r="P31" s="137"/>
      <c r="Q31" s="7">
        <f>Q21+Q25+Q29</f>
        <v>53225060.950404003</v>
      </c>
      <c r="R31" s="7">
        <f>R21+R25+R29</f>
        <v>63870073.140484795</v>
      </c>
      <c r="S31" s="7">
        <f>S21+S25+S29</f>
        <v>48359023.25688</v>
      </c>
      <c r="T31" s="14">
        <f>T21+T25+T29</f>
        <v>58030827.908255994</v>
      </c>
    </row>
    <row r="32" spans="1:20" s="29" customFormat="1" ht="18" customHeight="1" x14ac:dyDescent="0.2">
      <c r="A32" s="16"/>
      <c r="B32" s="17" t="s">
        <v>25</v>
      </c>
      <c r="C32" s="21">
        <f>C22+C26+C30</f>
        <v>42253.544999999998</v>
      </c>
      <c r="D32" s="21">
        <f>D22+D24+D26+D28+D30</f>
        <v>2473.9500000000003</v>
      </c>
      <c r="E32" s="20">
        <f>D32/C32</f>
        <v>5.855011691918395E-2</v>
      </c>
      <c r="F32" s="165">
        <f>F24+F28+F30</f>
        <v>39779.595000000001</v>
      </c>
      <c r="G32" s="165">
        <f>G24+G28+G30</f>
        <v>16664.982</v>
      </c>
      <c r="H32" s="165">
        <f>H24+H28+H30</f>
        <v>23114.613000000001</v>
      </c>
      <c r="I32" s="22">
        <v>29.1252</v>
      </c>
      <c r="J32" s="23">
        <v>519.98578999999995</v>
      </c>
      <c r="K32" s="24">
        <f>K24+K28+K30</f>
        <v>45434070.392724</v>
      </c>
      <c r="L32" s="23">
        <v>0.21010000000000001</v>
      </c>
      <c r="M32" s="25">
        <f>M24+M28+M30</f>
        <v>8357692.9095000001</v>
      </c>
      <c r="N32" s="26">
        <v>1304.0999999999999</v>
      </c>
      <c r="O32" s="18">
        <f>O22+O24+O26+O28+O30</f>
        <v>7260859.7081999993</v>
      </c>
      <c r="P32" s="104">
        <f>O32/D32</f>
        <v>2934.9258102225181</v>
      </c>
      <c r="Q32" s="21">
        <f>Q24+Q28+Q30</f>
        <v>53791763.302223995</v>
      </c>
      <c r="R32" s="21">
        <f>R24+R28+R30</f>
        <v>64550115.962668791</v>
      </c>
      <c r="S32" s="21">
        <f>S24+S28+S30</f>
        <v>51876569.839499995</v>
      </c>
      <c r="T32" s="70">
        <f>T24+T28+T30</f>
        <v>62251883.807399988</v>
      </c>
    </row>
    <row r="33" spans="1:20" ht="15" customHeight="1" x14ac:dyDescent="0.2">
      <c r="A33" s="30" t="s">
        <v>37</v>
      </c>
      <c r="B33" s="31" t="s">
        <v>24</v>
      </c>
      <c r="C33" s="27">
        <f>C31+C19</f>
        <v>88684.476800000004</v>
      </c>
      <c r="D33" s="33">
        <f>D31+D19</f>
        <v>5623.9</v>
      </c>
      <c r="E33" s="34">
        <f t="shared" si="6"/>
        <v>6.3414705740249683E-2</v>
      </c>
      <c r="F33" s="27">
        <f>F31+F19</f>
        <v>83060.576799999995</v>
      </c>
      <c r="G33" s="32">
        <f>G19+G31</f>
        <v>35167.848217120001</v>
      </c>
      <c r="H33" s="32">
        <f>H19+H31</f>
        <v>47892.728582880001</v>
      </c>
      <c r="I33" s="36">
        <v>29.1252</v>
      </c>
      <c r="J33" s="37">
        <v>519.98578999999995</v>
      </c>
      <c r="K33" s="38">
        <f>K19+K31</f>
        <v>90868140.785448</v>
      </c>
      <c r="L33" s="37">
        <f>L31</f>
        <v>0.21010000000000001</v>
      </c>
      <c r="M33" s="39">
        <f>M19+M31</f>
        <v>17451027.185680002</v>
      </c>
      <c r="N33" s="40">
        <f>N31</f>
        <v>1304.0999999999999</v>
      </c>
      <c r="O33" s="183"/>
      <c r="P33" s="38"/>
      <c r="Q33" s="27">
        <f>Q19+Q31</f>
        <v>108319167.971128</v>
      </c>
      <c r="R33" s="27">
        <f>R19+R31</f>
        <v>129983001.56535359</v>
      </c>
      <c r="S33" s="27">
        <f>S19+S31</f>
        <v>108319298.20488</v>
      </c>
      <c r="T33" s="28">
        <f>T19+T31</f>
        <v>129983157.845856</v>
      </c>
    </row>
    <row r="34" spans="1:20" s="171" customFormat="1" ht="15" thickBot="1" x14ac:dyDescent="0.3">
      <c r="A34" s="166"/>
      <c r="B34" s="50" t="s">
        <v>25</v>
      </c>
      <c r="C34" s="60">
        <f>C20+C32</f>
        <v>92851.633999999991</v>
      </c>
      <c r="D34" s="60">
        <f>D20+D32</f>
        <v>6555.6880000000001</v>
      </c>
      <c r="E34" s="167">
        <f t="shared" si="6"/>
        <v>7.0603905581241577E-2</v>
      </c>
      <c r="F34" s="60">
        <f>F20+F32</f>
        <v>86295.945999999996</v>
      </c>
      <c r="G34" s="60">
        <f>G20+G32</f>
        <v>37276.497000000003</v>
      </c>
      <c r="H34" s="60">
        <f>H20+H32</f>
        <v>49019.449000000008</v>
      </c>
      <c r="I34" s="168">
        <f>I33</f>
        <v>29.1252</v>
      </c>
      <c r="J34" s="169">
        <v>519.98578999999995</v>
      </c>
      <c r="K34" s="116">
        <f>K20+K32</f>
        <v>90868140.785448</v>
      </c>
      <c r="L34" s="170">
        <f>L33</f>
        <v>0.21010000000000001</v>
      </c>
      <c r="M34" s="116">
        <f>M20+M32</f>
        <v>18130778.2546</v>
      </c>
      <c r="N34" s="116">
        <f>N33</f>
        <v>1304.0999999999999</v>
      </c>
      <c r="O34" s="116">
        <f>O20+O32</f>
        <v>19182768.0682</v>
      </c>
      <c r="P34" s="116">
        <f>O34/D34</f>
        <v>2926.1258418948551</v>
      </c>
      <c r="Q34" s="60">
        <f>K34+M34</f>
        <v>108998919.040048</v>
      </c>
      <c r="R34" s="60">
        <f>Q34*1.2</f>
        <v>130798702.8480576</v>
      </c>
      <c r="S34" s="60">
        <f>N34*F34</f>
        <v>112538543.17859998</v>
      </c>
      <c r="T34" s="61">
        <f>S34*1.2</f>
        <v>135046251.81431997</v>
      </c>
    </row>
    <row r="35" spans="1:20" ht="15" customHeight="1" x14ac:dyDescent="0.2">
      <c r="A35" s="2" t="s">
        <v>38</v>
      </c>
      <c r="B35" s="3" t="s">
        <v>24</v>
      </c>
      <c r="C35" s="4">
        <f>D35+F35</f>
        <v>12402.8</v>
      </c>
      <c r="D35" s="62">
        <v>1047.9000000000001</v>
      </c>
      <c r="E35" s="6">
        <f t="shared" si="6"/>
        <v>8.4488986357919196E-2</v>
      </c>
      <c r="F35" s="4">
        <f>11892.5-537.6</f>
        <v>11354.9</v>
      </c>
      <c r="G35" s="4">
        <f>F35*0.4234</f>
        <v>4807.6646599999995</v>
      </c>
      <c r="H35" s="4">
        <f>F35-G35</f>
        <v>6547.2353400000002</v>
      </c>
      <c r="I35" s="8">
        <v>29.1252</v>
      </c>
      <c r="J35" s="9">
        <v>519.98578999999995</v>
      </c>
      <c r="K35" s="10">
        <f>I35*J35*1000</f>
        <v>15144690.130907999</v>
      </c>
      <c r="L35" s="63">
        <v>0.27272999999999997</v>
      </c>
      <c r="M35" s="11">
        <f>F35*L35*1000</f>
        <v>3096821.8769999994</v>
      </c>
      <c r="N35" s="10">
        <v>1393.94</v>
      </c>
      <c r="O35" s="10"/>
      <c r="P35" s="10"/>
      <c r="Q35" s="7">
        <f>K35+M35</f>
        <v>18241512.007907998</v>
      </c>
      <c r="R35" s="4">
        <f>Q35*1.2</f>
        <v>21889814.409489598</v>
      </c>
      <c r="S35" s="7">
        <f>N35*F35</f>
        <v>15828049.306</v>
      </c>
      <c r="T35" s="64">
        <f>S35*1.2</f>
        <v>18993659.167199999</v>
      </c>
    </row>
    <row r="36" spans="1:20" s="29" customFormat="1" ht="15" customHeight="1" x14ac:dyDescent="0.2">
      <c r="A36" s="16"/>
      <c r="B36" s="17" t="s">
        <v>25</v>
      </c>
      <c r="C36" s="18">
        <f>D36+D37+F36</f>
        <v>13662.555</v>
      </c>
      <c r="D36" s="65">
        <v>1047.9000000000001</v>
      </c>
      <c r="E36" s="20">
        <f>(D36+D37)/C36</f>
        <v>9.9943678177324816E-2</v>
      </c>
      <c r="F36" s="18">
        <f>G36+H36</f>
        <v>12297.069</v>
      </c>
      <c r="G36" s="18">
        <v>5273.0870000000004</v>
      </c>
      <c r="H36" s="18">
        <v>7023.982</v>
      </c>
      <c r="I36" s="22">
        <v>29.1252</v>
      </c>
      <c r="J36" s="23">
        <v>519.98578999999995</v>
      </c>
      <c r="K36" s="24">
        <f>I36*J36*1000</f>
        <v>15144690.130907999</v>
      </c>
      <c r="L36" s="66">
        <v>0.27272999999999997</v>
      </c>
      <c r="M36" s="25">
        <f>F36*L36*1000</f>
        <v>3353779.6283699996</v>
      </c>
      <c r="N36" s="24">
        <v>1393.94</v>
      </c>
      <c r="O36" s="21">
        <f>D36*P36</f>
        <v>3448156.8660000004</v>
      </c>
      <c r="P36" s="104">
        <v>3290.54</v>
      </c>
      <c r="Q36" s="21">
        <f>K36+M36</f>
        <v>18498469.759277999</v>
      </c>
      <c r="R36" s="18">
        <f>Q36*1.2</f>
        <v>22198163.711133599</v>
      </c>
      <c r="S36" s="21">
        <f>N36*F36</f>
        <v>17141376.36186</v>
      </c>
      <c r="T36" s="67">
        <f>S36*1.2</f>
        <v>20569651.634232</v>
      </c>
    </row>
    <row r="37" spans="1:20" s="29" customFormat="1" ht="15" customHeight="1" x14ac:dyDescent="0.2">
      <c r="A37" s="164" t="s">
        <v>26</v>
      </c>
      <c r="B37" s="17" t="s">
        <v>25</v>
      </c>
      <c r="C37" s="18"/>
      <c r="D37" s="19">
        <f>1365.486-D36</f>
        <v>317.58600000000001</v>
      </c>
      <c r="E37" s="20"/>
      <c r="F37" s="18"/>
      <c r="G37" s="21"/>
      <c r="H37" s="21"/>
      <c r="I37" s="22"/>
      <c r="J37" s="23"/>
      <c r="K37" s="24"/>
      <c r="L37" s="23"/>
      <c r="M37" s="25"/>
      <c r="N37" s="26"/>
      <c r="O37" s="21">
        <f>D37*P37</f>
        <v>1020076.70442</v>
      </c>
      <c r="P37" s="104">
        <v>3211.97</v>
      </c>
      <c r="Q37" s="104"/>
      <c r="R37" s="104"/>
      <c r="S37" s="21"/>
      <c r="T37" s="70"/>
    </row>
    <row r="38" spans="1:20" ht="15" customHeight="1" x14ac:dyDescent="0.2">
      <c r="A38" s="30" t="s">
        <v>39</v>
      </c>
      <c r="B38" s="31" t="s">
        <v>24</v>
      </c>
      <c r="C38" s="32">
        <f>D38+F38</f>
        <v>12169.183199999999</v>
      </c>
      <c r="D38" s="33">
        <v>948.8</v>
      </c>
      <c r="E38" s="34">
        <f t="shared" si="6"/>
        <v>7.7967434987748399E-2</v>
      </c>
      <c r="F38" s="32">
        <f>11758.11-537.66-0.0668</f>
        <v>11220.3832</v>
      </c>
      <c r="G38" s="32">
        <f>F38*0.4234</f>
        <v>4750.7102468800003</v>
      </c>
      <c r="H38" s="32">
        <f>F38-G38</f>
        <v>6469.6729531199999</v>
      </c>
      <c r="I38" s="36">
        <v>29.1252</v>
      </c>
      <c r="J38" s="37">
        <v>519.98578999999995</v>
      </c>
      <c r="K38" s="38">
        <f>I38*J38*1000</f>
        <v>15144690.130907999</v>
      </c>
      <c r="L38" s="68">
        <v>0.27272999999999997</v>
      </c>
      <c r="M38" s="39">
        <f>F38*L38*1000</f>
        <v>3060135.1101359995</v>
      </c>
      <c r="N38" s="38">
        <v>1393.94</v>
      </c>
      <c r="O38" s="38"/>
      <c r="P38" s="38"/>
      <c r="Q38" s="27">
        <f>K38+M38</f>
        <v>18204825.241044</v>
      </c>
      <c r="R38" s="32">
        <f>Q38*1.2</f>
        <v>21845790.289252799</v>
      </c>
      <c r="S38" s="27">
        <f>N38*F38</f>
        <v>15640540.957808001</v>
      </c>
      <c r="T38" s="69">
        <f>S38*1.2</f>
        <v>18768649.149369601</v>
      </c>
    </row>
    <row r="39" spans="1:20" s="29" customFormat="1" ht="15" customHeight="1" x14ac:dyDescent="0.2">
      <c r="A39" s="16"/>
      <c r="B39" s="17" t="s">
        <v>25</v>
      </c>
      <c r="C39" s="18">
        <v>14100.001</v>
      </c>
      <c r="D39" s="65">
        <v>814.43899999999996</v>
      </c>
      <c r="E39" s="20">
        <f t="shared" si="6"/>
        <v>5.7761627109104458E-2</v>
      </c>
      <c r="F39" s="18">
        <v>13285.562</v>
      </c>
      <c r="G39" s="18">
        <v>5625.33</v>
      </c>
      <c r="H39" s="18">
        <v>7660.232</v>
      </c>
      <c r="I39" s="22">
        <v>29.1252</v>
      </c>
      <c r="J39" s="23">
        <v>519.98578999999995</v>
      </c>
      <c r="K39" s="24">
        <f>I39*J39*1000</f>
        <v>15144690.130907999</v>
      </c>
      <c r="L39" s="66">
        <v>0.27272999999999997</v>
      </c>
      <c r="M39" s="25">
        <f>F39*L39*1000</f>
        <v>3623371.3242599997</v>
      </c>
      <c r="N39" s="24">
        <v>1393.94</v>
      </c>
      <c r="O39" s="21">
        <f>D39*P39</f>
        <v>2619871.0864200001</v>
      </c>
      <c r="P39" s="24">
        <v>3216.78</v>
      </c>
      <c r="Q39" s="21">
        <f>K39+M39</f>
        <v>18768061.455167998</v>
      </c>
      <c r="R39" s="18">
        <f>Q39*1.2</f>
        <v>22521673.746201597</v>
      </c>
      <c r="S39" s="21">
        <f>N39*F39</f>
        <v>18519276.29428</v>
      </c>
      <c r="T39" s="70">
        <f>S39*1.2</f>
        <v>22223131.553135999</v>
      </c>
    </row>
    <row r="40" spans="1:20" ht="15" customHeight="1" x14ac:dyDescent="0.2">
      <c r="A40" s="30" t="s">
        <v>40</v>
      </c>
      <c r="B40" s="31" t="s">
        <v>24</v>
      </c>
      <c r="C40" s="32">
        <f>D40+F40</f>
        <v>13433.869999999999</v>
      </c>
      <c r="D40" s="33">
        <v>1047.9000000000001</v>
      </c>
      <c r="E40" s="34">
        <f t="shared" si="6"/>
        <v>7.800432786680235E-2</v>
      </c>
      <c r="F40" s="32">
        <v>12385.97</v>
      </c>
      <c r="G40" s="32">
        <f>F40*0.4234</f>
        <v>5244.2196979999999</v>
      </c>
      <c r="H40" s="32">
        <f>F40-G40</f>
        <v>7141.7503019999995</v>
      </c>
      <c r="I40" s="36">
        <v>29.1252</v>
      </c>
      <c r="J40" s="37">
        <v>519.98578999999995</v>
      </c>
      <c r="K40" s="38">
        <f>I40*J40*1000</f>
        <v>15144690.130907999</v>
      </c>
      <c r="L40" s="68">
        <v>0.27272999999999997</v>
      </c>
      <c r="M40" s="39">
        <f>F40*L40*1000</f>
        <v>3378025.5980999996</v>
      </c>
      <c r="N40" s="38">
        <v>1393.94</v>
      </c>
      <c r="O40" s="38"/>
      <c r="P40" s="38"/>
      <c r="Q40" s="27">
        <f>K40+M40</f>
        <v>18522715.729008</v>
      </c>
      <c r="R40" s="32">
        <f>Q40*1.2</f>
        <v>22227258.8748096</v>
      </c>
      <c r="S40" s="27">
        <f>N40*F40</f>
        <v>17265299.0218</v>
      </c>
      <c r="T40" s="69">
        <f>S40*1.2</f>
        <v>20718358.826159999</v>
      </c>
    </row>
    <row r="41" spans="1:20" s="29" customFormat="1" ht="15" customHeight="1" x14ac:dyDescent="0.2">
      <c r="A41" s="16"/>
      <c r="B41" s="17" t="s">
        <v>25</v>
      </c>
      <c r="C41" s="18">
        <v>14435.424000000001</v>
      </c>
      <c r="D41" s="65">
        <v>1044.1469999999999</v>
      </c>
      <c r="E41" s="20">
        <f>D41/C41</f>
        <v>7.2332270946804181E-2</v>
      </c>
      <c r="F41" s="18">
        <f>C41-D41</f>
        <v>13391.277000000002</v>
      </c>
      <c r="G41" s="18">
        <v>5563.2349999999997</v>
      </c>
      <c r="H41" s="18">
        <f>F41-G41</f>
        <v>7828.0420000000022</v>
      </c>
      <c r="I41" s="22">
        <v>29.1252</v>
      </c>
      <c r="J41" s="23">
        <v>519.98578999999995</v>
      </c>
      <c r="K41" s="24">
        <f>I41*J41*1000</f>
        <v>15144690.130907999</v>
      </c>
      <c r="L41" s="66">
        <v>0.27272999999999997</v>
      </c>
      <c r="M41" s="25">
        <f>F41*L41*1000</f>
        <v>3652202.97621</v>
      </c>
      <c r="N41" s="24">
        <v>1393.94</v>
      </c>
      <c r="O41" s="21">
        <f>D41*P41</f>
        <v>3352494.98025</v>
      </c>
      <c r="P41" s="24">
        <v>3210.75</v>
      </c>
      <c r="Q41" s="21">
        <f>K41+M41</f>
        <v>18796893.107117999</v>
      </c>
      <c r="R41" s="18">
        <f>Q41*1.2</f>
        <v>22556271.728541598</v>
      </c>
      <c r="S41" s="21">
        <f>N41*F41</f>
        <v>18666636.661380004</v>
      </c>
      <c r="T41" s="70">
        <f>S41*1.2</f>
        <v>22399963.993656006</v>
      </c>
    </row>
    <row r="42" spans="1:20" s="81" customFormat="1" ht="15" customHeight="1" thickBot="1" x14ac:dyDescent="0.25">
      <c r="A42" s="185" t="s">
        <v>27</v>
      </c>
      <c r="B42" s="186" t="s">
        <v>25</v>
      </c>
      <c r="C42" s="187">
        <v>14435.424000000001</v>
      </c>
      <c r="D42" s="197">
        <v>1044.5989999999999</v>
      </c>
      <c r="E42" s="149">
        <f>D42/C42</f>
        <v>7.2363582808513266E-2</v>
      </c>
      <c r="F42" s="187">
        <v>13390.825000000001</v>
      </c>
      <c r="G42" s="187">
        <v>5563.2349999999997</v>
      </c>
      <c r="H42" s="187">
        <v>7827.59</v>
      </c>
      <c r="I42" s="151">
        <v>29.1252</v>
      </c>
      <c r="J42" s="152">
        <v>519.98578999999995</v>
      </c>
      <c r="K42" s="153">
        <f>I42*J42*1000</f>
        <v>15144690.130907999</v>
      </c>
      <c r="L42" s="156">
        <v>0.27272999999999997</v>
      </c>
      <c r="M42" s="154">
        <f>F42*L42*1000</f>
        <v>3652079.7022499996</v>
      </c>
      <c r="N42" s="153">
        <v>1393.94</v>
      </c>
      <c r="O42" s="142">
        <f>D42*P42</f>
        <v>3353946.2392499996</v>
      </c>
      <c r="P42" s="192">
        <v>3210.75</v>
      </c>
      <c r="Q42" s="142">
        <f>K42+M42</f>
        <v>18796769.833157998</v>
      </c>
      <c r="R42" s="147">
        <f>Q42*1.2</f>
        <v>22556123.799789596</v>
      </c>
      <c r="S42" s="142">
        <f>N42*F42</f>
        <v>18666006.600500003</v>
      </c>
      <c r="T42" s="143">
        <f>S42*1.2</f>
        <v>22399207.920600001</v>
      </c>
    </row>
    <row r="43" spans="1:20" ht="15" customHeight="1" x14ac:dyDescent="0.2">
      <c r="A43" s="2" t="s">
        <v>41</v>
      </c>
      <c r="B43" s="3" t="s">
        <v>24</v>
      </c>
      <c r="C43" s="4">
        <f>C35+C38+C40</f>
        <v>38005.853199999998</v>
      </c>
      <c r="D43" s="62">
        <f>D35+D38+D40</f>
        <v>3044.6000000000004</v>
      </c>
      <c r="E43" s="6">
        <f t="shared" si="6"/>
        <v>8.0108713359972689E-2</v>
      </c>
      <c r="F43" s="4">
        <f>C43-D43</f>
        <v>34961.253199999999</v>
      </c>
      <c r="G43" s="4">
        <f>G35+G38+G40</f>
        <v>14802.59460488</v>
      </c>
      <c r="H43" s="4">
        <f>H35+H38+H40</f>
        <v>20158.65859512</v>
      </c>
      <c r="I43" s="8">
        <v>29.1252</v>
      </c>
      <c r="J43" s="9">
        <v>519.98578999999995</v>
      </c>
      <c r="K43" s="10">
        <f>K35+K38+K40</f>
        <v>45434070.392724</v>
      </c>
      <c r="L43" s="63">
        <f>L40</f>
        <v>0.27272999999999997</v>
      </c>
      <c r="M43" s="11">
        <f>M35+M38+M40</f>
        <v>9534982.585235998</v>
      </c>
      <c r="N43" s="10">
        <f>N40</f>
        <v>1393.94</v>
      </c>
      <c r="O43" s="10"/>
      <c r="P43" s="10"/>
      <c r="Q43" s="7">
        <f>Q35+Q38+Q40</f>
        <v>54969052.977960005</v>
      </c>
      <c r="R43" s="7">
        <f>R35+R38+R40</f>
        <v>65962863.573551998</v>
      </c>
      <c r="S43" s="7">
        <f>S35+S38+S40</f>
        <v>48733889.285608001</v>
      </c>
      <c r="T43" s="14">
        <f>T35+T38+T40</f>
        <v>58480667.142729595</v>
      </c>
    </row>
    <row r="44" spans="1:20" s="29" customFormat="1" ht="18" customHeight="1" x14ac:dyDescent="0.2">
      <c r="A44" s="16"/>
      <c r="B44" s="17" t="s">
        <v>25</v>
      </c>
      <c r="C44" s="21">
        <f>C36+C37+C39+C42</f>
        <v>42197.98</v>
      </c>
      <c r="D44" s="21">
        <f>D36+D37+D39+D42</f>
        <v>3224.5240000000003</v>
      </c>
      <c r="E44" s="20">
        <f t="shared" si="6"/>
        <v>7.6414179067339244E-2</v>
      </c>
      <c r="F44" s="21">
        <f>F36+F37+F39+F42</f>
        <v>38973.456000000006</v>
      </c>
      <c r="G44" s="21">
        <f>G36+G37+G39+G42</f>
        <v>16461.652000000002</v>
      </c>
      <c r="H44" s="21">
        <f>H36+H37+H39+H42</f>
        <v>22511.804</v>
      </c>
      <c r="I44" s="22">
        <v>29.1252</v>
      </c>
      <c r="J44" s="23">
        <v>519.98578999999995</v>
      </c>
      <c r="K44" s="21">
        <f>K36+K37+K39+K42</f>
        <v>45434070.392724</v>
      </c>
      <c r="L44" s="66">
        <f>L41</f>
        <v>0.27272999999999997</v>
      </c>
      <c r="M44" s="21">
        <f>M36+M37+M39+M42</f>
        <v>10629230.654879998</v>
      </c>
      <c r="N44" s="24">
        <f>N41</f>
        <v>1393.94</v>
      </c>
      <c r="O44" s="21">
        <f>O36+O37+O39+O42</f>
        <v>10442050.896090001</v>
      </c>
      <c r="P44" s="21">
        <f>O44/D44</f>
        <v>3238.3232055615031</v>
      </c>
      <c r="Q44" s="21">
        <f>Q36+Q37+Q39+Q42</f>
        <v>56063301.047603995</v>
      </c>
      <c r="R44" s="21">
        <f>R36+R37+R39+R42</f>
        <v>67275961.257124797</v>
      </c>
      <c r="S44" s="21">
        <f>S36+S37+S39+S42</f>
        <v>54326659.256640002</v>
      </c>
      <c r="T44" s="70">
        <f>T36+T37+T39+T42</f>
        <v>65191991.107968003</v>
      </c>
    </row>
    <row r="45" spans="1:20" ht="14.25" customHeight="1" x14ac:dyDescent="0.2">
      <c r="A45" s="30" t="s">
        <v>42</v>
      </c>
      <c r="B45" s="31" t="s">
        <v>24</v>
      </c>
      <c r="C45" s="27">
        <f>C33+C43</f>
        <v>126690.33</v>
      </c>
      <c r="D45" s="33">
        <f>D33+D43</f>
        <v>8668.5</v>
      </c>
      <c r="E45" s="34">
        <f t="shared" si="6"/>
        <v>6.8422743866876023E-2</v>
      </c>
      <c r="F45" s="32">
        <f>F33+F43</f>
        <v>118021.82999999999</v>
      </c>
      <c r="G45" s="32">
        <f>G33+G43</f>
        <v>49970.442821999997</v>
      </c>
      <c r="H45" s="32">
        <f>H33+H43</f>
        <v>68051.387178000004</v>
      </c>
      <c r="I45" s="36">
        <v>29.1252</v>
      </c>
      <c r="J45" s="37">
        <v>519.98578999999995</v>
      </c>
      <c r="K45" s="38">
        <f>K33+K43</f>
        <v>136302211.17817199</v>
      </c>
      <c r="L45" s="68">
        <f>(L33*6+L43*3)/9</f>
        <v>0.23097666666666669</v>
      </c>
      <c r="M45" s="39">
        <f>M33+M43</f>
        <v>26986009.770916</v>
      </c>
      <c r="N45" s="38">
        <f>(N29*6+N35*3)/9</f>
        <v>1334.0466666666664</v>
      </c>
      <c r="O45" s="38"/>
      <c r="P45" s="27"/>
      <c r="Q45" s="27">
        <f>Q33+Q43</f>
        <v>163288220.94908801</v>
      </c>
      <c r="R45" s="27">
        <f>R33+R43</f>
        <v>195945865.13890558</v>
      </c>
      <c r="S45" s="27">
        <f>S33+S43</f>
        <v>157053187.49048799</v>
      </c>
      <c r="T45" s="28">
        <f>T33+T43</f>
        <v>188463824.98858559</v>
      </c>
    </row>
    <row r="46" spans="1:20" s="29" customFormat="1" ht="13.5" customHeight="1" thickBot="1" x14ac:dyDescent="0.25">
      <c r="A46" s="172"/>
      <c r="B46" s="50" t="s">
        <v>25</v>
      </c>
      <c r="C46" s="60">
        <f>C34+C44</f>
        <v>135049.614</v>
      </c>
      <c r="D46" s="60">
        <f t="shared" ref="D46:T46" si="7">D34+D44</f>
        <v>9780.2119999999995</v>
      </c>
      <c r="E46" s="53">
        <f t="shared" si="6"/>
        <v>7.2419399880698648E-2</v>
      </c>
      <c r="F46" s="60">
        <f t="shared" si="7"/>
        <v>125269.402</v>
      </c>
      <c r="G46" s="60">
        <f t="shared" si="7"/>
        <v>53738.149000000005</v>
      </c>
      <c r="H46" s="60">
        <f t="shared" si="7"/>
        <v>71531.253000000012</v>
      </c>
      <c r="I46" s="55">
        <v>29.1252</v>
      </c>
      <c r="J46" s="56">
        <v>519.98578999999995</v>
      </c>
      <c r="K46" s="60">
        <f t="shared" si="7"/>
        <v>136302211.17817199</v>
      </c>
      <c r="L46" s="173">
        <f>(L34*6+L44*3)/9</f>
        <v>0.23097666666666669</v>
      </c>
      <c r="M46" s="60">
        <f t="shared" si="7"/>
        <v>28760008.909479998</v>
      </c>
      <c r="N46" s="57">
        <f>(N30*6+N36*3)/9</f>
        <v>1334.0466666666664</v>
      </c>
      <c r="O46" s="60">
        <f t="shared" si="7"/>
        <v>29624818.96429</v>
      </c>
      <c r="P46" s="60">
        <f>O46/D46</f>
        <v>3029.0569329468526</v>
      </c>
      <c r="Q46" s="116">
        <f t="shared" si="7"/>
        <v>165062220.087652</v>
      </c>
      <c r="R46" s="116">
        <f t="shared" si="7"/>
        <v>198074664.10518241</v>
      </c>
      <c r="S46" s="116">
        <f t="shared" si="7"/>
        <v>166865202.43523997</v>
      </c>
      <c r="T46" s="174">
        <f t="shared" si="7"/>
        <v>200238242.92228797</v>
      </c>
    </row>
    <row r="47" spans="1:20" ht="15" customHeight="1" x14ac:dyDescent="0.2">
      <c r="A47" s="179" t="s">
        <v>43</v>
      </c>
      <c r="B47" s="71" t="s">
        <v>24</v>
      </c>
      <c r="C47" s="72">
        <f>D47+F47</f>
        <v>15789.679</v>
      </c>
      <c r="D47" s="73">
        <v>1386.7</v>
      </c>
      <c r="E47" s="74">
        <f t="shared" si="6"/>
        <v>8.782319133910195E-2</v>
      </c>
      <c r="F47" s="72">
        <v>14402.978999999999</v>
      </c>
      <c r="G47" s="72">
        <f>F47*0.4234</f>
        <v>6098.2213086000002</v>
      </c>
      <c r="H47" s="72">
        <f>F47-G47</f>
        <v>8304.7576913999983</v>
      </c>
      <c r="I47" s="75">
        <v>29.1252</v>
      </c>
      <c r="J47" s="76">
        <v>519.98578999999995</v>
      </c>
      <c r="K47" s="77">
        <f>I47*J47*1000</f>
        <v>15144690.130907999</v>
      </c>
      <c r="L47" s="78">
        <v>0.27272999999999997</v>
      </c>
      <c r="M47" s="79">
        <f>F47*L47*1000</f>
        <v>3928124.4626699993</v>
      </c>
      <c r="N47" s="77">
        <v>1393.94</v>
      </c>
      <c r="O47" s="140"/>
      <c r="P47" s="77"/>
      <c r="Q47" s="80">
        <f>K47+M47</f>
        <v>19072814.593578</v>
      </c>
      <c r="R47" s="72">
        <f>Q47*1.2</f>
        <v>22887377.5122936</v>
      </c>
      <c r="S47" s="72">
        <f>F47*N47</f>
        <v>20076888.547260001</v>
      </c>
      <c r="T47" s="228">
        <f>S47*1.2</f>
        <v>24092266.256712001</v>
      </c>
    </row>
    <row r="48" spans="1:20" s="29" customFormat="1" ht="15" customHeight="1" x14ac:dyDescent="0.2">
      <c r="A48" s="16"/>
      <c r="B48" s="17" t="s">
        <v>25</v>
      </c>
      <c r="C48" s="18">
        <v>16213.686</v>
      </c>
      <c r="D48" s="19">
        <v>1386.7</v>
      </c>
      <c r="E48" s="20">
        <f>(D48+D49)/C48</f>
        <v>9.4567021959102951E-2</v>
      </c>
      <c r="F48" s="18">
        <v>14680.406000000001</v>
      </c>
      <c r="G48" s="18">
        <v>6531.4229999999998</v>
      </c>
      <c r="H48" s="18">
        <v>8148.9830000000002</v>
      </c>
      <c r="I48" s="22">
        <v>29.1252</v>
      </c>
      <c r="J48" s="23">
        <v>519.98578999999995</v>
      </c>
      <c r="K48" s="24">
        <f>I48*J48*1000</f>
        <v>15144690.130907999</v>
      </c>
      <c r="L48" s="66">
        <v>0.27272999999999997</v>
      </c>
      <c r="M48" s="25">
        <f>F48*L48*1000</f>
        <v>4003787.1283800001</v>
      </c>
      <c r="N48" s="24">
        <v>1393.94</v>
      </c>
      <c r="O48" s="18">
        <f>P48*D48</f>
        <v>4253729.9840000002</v>
      </c>
      <c r="P48" s="24">
        <v>3067.52</v>
      </c>
      <c r="Q48" s="18">
        <f>K48+M48</f>
        <v>19148477.259287998</v>
      </c>
      <c r="R48" s="18">
        <f>Q48*1.2</f>
        <v>22978172.711145598</v>
      </c>
      <c r="S48" s="18">
        <f>N48*F48</f>
        <v>20463605.139640003</v>
      </c>
      <c r="T48" s="67">
        <f>S48*1.2</f>
        <v>24556326.167568002</v>
      </c>
    </row>
    <row r="49" spans="1:20" s="29" customFormat="1" ht="15" customHeight="1" x14ac:dyDescent="0.2">
      <c r="A49" s="164" t="s">
        <v>26</v>
      </c>
      <c r="B49" s="17"/>
      <c r="C49" s="18"/>
      <c r="D49" s="65">
        <f>1533.28-D48</f>
        <v>146.57999999999993</v>
      </c>
      <c r="E49" s="20"/>
      <c r="F49" s="18"/>
      <c r="G49" s="18"/>
      <c r="H49" s="18"/>
      <c r="I49" s="22"/>
      <c r="J49" s="23"/>
      <c r="K49" s="24"/>
      <c r="L49" s="66"/>
      <c r="M49" s="25"/>
      <c r="N49" s="24"/>
      <c r="O49" s="18">
        <f>P49*D49</f>
        <v>438120.29099999974</v>
      </c>
      <c r="P49" s="24">
        <v>2988.95</v>
      </c>
      <c r="Q49" s="21"/>
      <c r="R49" s="21"/>
      <c r="S49" s="18"/>
      <c r="T49" s="67"/>
    </row>
    <row r="50" spans="1:20" ht="15" customHeight="1" x14ac:dyDescent="0.2">
      <c r="A50" s="30" t="s">
        <v>44</v>
      </c>
      <c r="B50" s="31" t="s">
        <v>24</v>
      </c>
      <c r="C50" s="32">
        <f>D50+F50</f>
        <v>16575.334999999999</v>
      </c>
      <c r="D50" s="33">
        <v>1173.9000000000001</v>
      </c>
      <c r="E50" s="34">
        <f t="shared" si="6"/>
        <v>7.0822098014911919E-2</v>
      </c>
      <c r="F50" s="32">
        <v>15401.434999999999</v>
      </c>
      <c r="G50" s="32">
        <f>F50*0.4234</f>
        <v>6520.9675790000001</v>
      </c>
      <c r="H50" s="32">
        <f>F50-G50</f>
        <v>8880.4674209999994</v>
      </c>
      <c r="I50" s="36">
        <v>29.1252</v>
      </c>
      <c r="J50" s="37">
        <v>519.98578999999995</v>
      </c>
      <c r="K50" s="38">
        <f>I50*J50*1000</f>
        <v>15144690.130907999</v>
      </c>
      <c r="L50" s="68">
        <v>0.27272999999999997</v>
      </c>
      <c r="M50" s="39">
        <f>F50*L50*1000</f>
        <v>4200433.3675499996</v>
      </c>
      <c r="N50" s="38">
        <v>1393.94</v>
      </c>
      <c r="O50" s="38"/>
      <c r="P50" s="38"/>
      <c r="Q50" s="27">
        <f>K50+M50</f>
        <v>19345123.498457998</v>
      </c>
      <c r="R50" s="32">
        <f>Q50*1.2</f>
        <v>23214148.198149595</v>
      </c>
      <c r="S50" s="32">
        <f>F50*N50</f>
        <v>21468676.3039</v>
      </c>
      <c r="T50" s="69">
        <f>S50*1.2</f>
        <v>25762411.564679999</v>
      </c>
    </row>
    <row r="51" spans="1:20" s="29" customFormat="1" ht="15" customHeight="1" x14ac:dyDescent="0.2">
      <c r="A51" s="16"/>
      <c r="B51" s="17" t="s">
        <v>25</v>
      </c>
      <c r="C51" s="18">
        <v>17057.181</v>
      </c>
      <c r="D51" s="65">
        <v>1072.559</v>
      </c>
      <c r="E51" s="20">
        <f>D51/C51</f>
        <v>6.2880202772075872E-2</v>
      </c>
      <c r="F51" s="18">
        <v>15984.621999999999</v>
      </c>
      <c r="G51" s="18">
        <v>7104.3320000000003</v>
      </c>
      <c r="H51" s="18">
        <v>8880.2900000000009</v>
      </c>
      <c r="I51" s="22">
        <v>29.1252</v>
      </c>
      <c r="J51" s="23">
        <v>519.98578999999995</v>
      </c>
      <c r="K51" s="24">
        <f>I51*J51*1000</f>
        <v>15144690.130907999</v>
      </c>
      <c r="L51" s="66">
        <v>0.27272999999999997</v>
      </c>
      <c r="M51" s="25">
        <f>F51*L51*1000</f>
        <v>4359485.9580599992</v>
      </c>
      <c r="N51" s="24">
        <v>1393.94</v>
      </c>
      <c r="O51" s="21">
        <f>D51*P51</f>
        <v>3219307.2896799999</v>
      </c>
      <c r="P51" s="24">
        <v>3001.52</v>
      </c>
      <c r="Q51" s="21">
        <f>K51+M51</f>
        <v>19504176.088967998</v>
      </c>
      <c r="R51" s="18">
        <f>Q51*1.2</f>
        <v>23405011.306761596</v>
      </c>
      <c r="S51" s="21">
        <f>N51*F51</f>
        <v>22281603.990680002</v>
      </c>
      <c r="T51" s="70">
        <f>S51*1.2</f>
        <v>26737924.788816001</v>
      </c>
    </row>
    <row r="52" spans="1:20" ht="15" customHeight="1" x14ac:dyDescent="0.2">
      <c r="A52" s="179" t="s">
        <v>45</v>
      </c>
      <c r="B52" s="71" t="s">
        <v>24</v>
      </c>
      <c r="C52" s="72">
        <f>D52+F52</f>
        <v>18029.856</v>
      </c>
      <c r="D52" s="73">
        <v>1751.2</v>
      </c>
      <c r="E52" s="74">
        <f t="shared" si="6"/>
        <v>9.7127786267400026E-2</v>
      </c>
      <c r="F52" s="72">
        <v>16278.656000000001</v>
      </c>
      <c r="G52" s="72">
        <f>F52*0.4234</f>
        <v>6892.3829504000005</v>
      </c>
      <c r="H52" s="72">
        <f>F52-G52</f>
        <v>9386.2730496000004</v>
      </c>
      <c r="I52" s="75">
        <v>29.1252</v>
      </c>
      <c r="J52" s="76">
        <v>519.98578999999995</v>
      </c>
      <c r="K52" s="77">
        <f>I52*J52*1000</f>
        <v>15144690.130907999</v>
      </c>
      <c r="L52" s="78">
        <v>0.27272999999999997</v>
      </c>
      <c r="M52" s="79">
        <f>F52*L52*1000</f>
        <v>4439677.8508799998</v>
      </c>
      <c r="N52" s="77">
        <v>1393.94</v>
      </c>
      <c r="O52" s="77"/>
      <c r="P52" s="77"/>
      <c r="Q52" s="80">
        <f>K52+M52</f>
        <v>19584367.981787998</v>
      </c>
      <c r="R52" s="72">
        <f>Q52*1.2</f>
        <v>23501241.578145597</v>
      </c>
      <c r="S52" s="72">
        <f>F52*N52</f>
        <v>22691469.744640004</v>
      </c>
      <c r="T52" s="228">
        <f>S52*1.2</f>
        <v>27229763.693568002</v>
      </c>
    </row>
    <row r="53" spans="1:20" s="29" customFormat="1" ht="15" customHeight="1" x14ac:dyDescent="0.2">
      <c r="A53" s="16"/>
      <c r="B53" s="17" t="s">
        <v>25</v>
      </c>
      <c r="C53" s="18">
        <v>18643.361000000001</v>
      </c>
      <c r="D53" s="65">
        <v>1751.2</v>
      </c>
      <c r="E53" s="20">
        <f>(D53+D54)/C53</f>
        <v>9.725118770161667E-2</v>
      </c>
      <c r="F53" s="18">
        <v>16830.272000000001</v>
      </c>
      <c r="G53" s="18">
        <v>7677.433</v>
      </c>
      <c r="H53" s="18">
        <v>9152.8389999999999</v>
      </c>
      <c r="I53" s="22">
        <v>29.1252</v>
      </c>
      <c r="J53" s="23">
        <v>519.98578999999995</v>
      </c>
      <c r="K53" s="24">
        <f>I53*J53*1000</f>
        <v>15144690.130907999</v>
      </c>
      <c r="L53" s="66">
        <v>0.27272999999999997</v>
      </c>
      <c r="M53" s="25">
        <f>F53*L53*1000</f>
        <v>4590120.08256</v>
      </c>
      <c r="N53" s="24">
        <v>1393.94</v>
      </c>
      <c r="O53" s="21">
        <f>D53*P53</f>
        <v>5612648.5360000003</v>
      </c>
      <c r="P53" s="24">
        <v>3205.03</v>
      </c>
      <c r="Q53" s="18">
        <f>K53+M53</f>
        <v>19734810.213468</v>
      </c>
      <c r="R53" s="18">
        <f>Q53*1.2</f>
        <v>23681772.2561616</v>
      </c>
      <c r="S53" s="18">
        <f>N53*F53</f>
        <v>23460389.351680003</v>
      </c>
      <c r="T53" s="67">
        <f>S53*1.2</f>
        <v>28152467.222016003</v>
      </c>
    </row>
    <row r="54" spans="1:20" s="29" customFormat="1" ht="15" customHeight="1" thickBot="1" x14ac:dyDescent="0.25">
      <c r="A54" s="229" t="s">
        <v>26</v>
      </c>
      <c r="B54" s="198"/>
      <c r="C54" s="199"/>
      <c r="D54" s="200">
        <f>1813.089-D53</f>
        <v>61.888999999999896</v>
      </c>
      <c r="E54" s="201"/>
      <c r="F54" s="199"/>
      <c r="G54" s="199"/>
      <c r="H54" s="199"/>
      <c r="I54" s="202"/>
      <c r="J54" s="203"/>
      <c r="K54" s="204"/>
      <c r="L54" s="205"/>
      <c r="M54" s="206"/>
      <c r="N54" s="204"/>
      <c r="O54" s="199">
        <f>P54*D54</f>
        <v>185668.23777999968</v>
      </c>
      <c r="P54" s="204">
        <v>3000.02</v>
      </c>
      <c r="Q54" s="207"/>
      <c r="R54" s="199"/>
      <c r="S54" s="199"/>
      <c r="T54" s="230"/>
    </row>
    <row r="55" spans="1:20" ht="15" customHeight="1" x14ac:dyDescent="0.2">
      <c r="A55" s="2" t="s">
        <v>46</v>
      </c>
      <c r="B55" s="3" t="s">
        <v>24</v>
      </c>
      <c r="C55" s="7">
        <f>C47+C50+C52</f>
        <v>50394.869999999995</v>
      </c>
      <c r="D55" s="7">
        <f>D47+D50+D52</f>
        <v>4311.8</v>
      </c>
      <c r="E55" s="6">
        <f t="shared" si="6"/>
        <v>8.5560296117442119E-2</v>
      </c>
      <c r="F55" s="7">
        <f>F47+F50+F52</f>
        <v>46083.07</v>
      </c>
      <c r="G55" s="7">
        <f>G47+G50+G52</f>
        <v>19511.571838000003</v>
      </c>
      <c r="H55" s="7">
        <f>H47+H50+H52</f>
        <v>26571.498161999996</v>
      </c>
      <c r="I55" s="8">
        <v>29.1252</v>
      </c>
      <c r="J55" s="9">
        <f>J38</f>
        <v>519.98578999999995</v>
      </c>
      <c r="K55" s="10">
        <f>K47+K50+K52</f>
        <v>45434070.392724</v>
      </c>
      <c r="L55" s="63">
        <f>(L43+L52)/2</f>
        <v>0.27272999999999997</v>
      </c>
      <c r="M55" s="11">
        <f>M47+M50+M52</f>
        <v>12568235.6811</v>
      </c>
      <c r="N55" s="10">
        <f>N52</f>
        <v>1393.94</v>
      </c>
      <c r="O55" s="10"/>
      <c r="P55" s="10"/>
      <c r="Q55" s="7">
        <f>Q47+Q50+Q52</f>
        <v>58002306.073823988</v>
      </c>
      <c r="R55" s="7">
        <f>R47+R50+R52</f>
        <v>69602767.288588792</v>
      </c>
      <c r="S55" s="7">
        <f>S47+S50+S52</f>
        <v>64237034.595800012</v>
      </c>
      <c r="T55" s="14">
        <f>T47+T50+T52</f>
        <v>77084441.514960006</v>
      </c>
    </row>
    <row r="56" spans="1:20" s="29" customFormat="1" ht="15" customHeight="1" x14ac:dyDescent="0.2">
      <c r="A56" s="16"/>
      <c r="B56" s="17" t="s">
        <v>25</v>
      </c>
      <c r="C56" s="21">
        <f>C48+C51+C53</f>
        <v>51914.228000000003</v>
      </c>
      <c r="D56" s="21">
        <f>D48+D49+D51+D53+D54</f>
        <v>4418.9279999999999</v>
      </c>
      <c r="E56" s="20">
        <f t="shared" si="6"/>
        <v>8.511978642926174E-2</v>
      </c>
      <c r="F56" s="21">
        <f>F48+F51+F53</f>
        <v>47495.3</v>
      </c>
      <c r="G56" s="21">
        <f>G48+G51+G53</f>
        <v>21313.188000000002</v>
      </c>
      <c r="H56" s="21">
        <f>H48+H51+H53</f>
        <v>26182.112000000001</v>
      </c>
      <c r="I56" s="22">
        <v>29.1252</v>
      </c>
      <c r="J56" s="23">
        <f>J39</f>
        <v>519.98578999999995</v>
      </c>
      <c r="K56" s="24">
        <f>K48+K51+K53</f>
        <v>45434070.392724</v>
      </c>
      <c r="L56" s="66">
        <f>(L44+L53)/2</f>
        <v>0.27272999999999997</v>
      </c>
      <c r="M56" s="25">
        <f>M48+M51+M53</f>
        <v>12953393.169</v>
      </c>
      <c r="N56" s="24">
        <f>N53</f>
        <v>1393.94</v>
      </c>
      <c r="O56" s="24">
        <f>O48+O49+O51+O53+O54</f>
        <v>13709474.33846</v>
      </c>
      <c r="P56" s="21">
        <f>O56/D56</f>
        <v>3102.4434746300462</v>
      </c>
      <c r="Q56" s="21">
        <f>Q48+Q51+Q53</f>
        <v>58387463.561723992</v>
      </c>
      <c r="R56" s="21">
        <f>R48+R51+R53</f>
        <v>70064956.274068803</v>
      </c>
      <c r="S56" s="21">
        <f>S48+S51+S53</f>
        <v>66205598.482000008</v>
      </c>
      <c r="T56" s="70">
        <f>T48+T51+T53</f>
        <v>79446718.17840001</v>
      </c>
    </row>
    <row r="57" spans="1:20" ht="15" customHeight="1" x14ac:dyDescent="0.2">
      <c r="A57" s="30" t="s">
        <v>53</v>
      </c>
      <c r="B57" s="31" t="s">
        <v>24</v>
      </c>
      <c r="C57" s="27">
        <f>C43+C55</f>
        <v>88400.723199999993</v>
      </c>
      <c r="D57" s="27">
        <f>D43+D55</f>
        <v>7356.4000000000005</v>
      </c>
      <c r="E57" s="34">
        <f t="shared" si="6"/>
        <v>8.32165137762131E-2</v>
      </c>
      <c r="F57" s="27">
        <f>F43+F55</f>
        <v>81044.323199999999</v>
      </c>
      <c r="G57" s="27">
        <f>G43+G55</f>
        <v>34314.16644288</v>
      </c>
      <c r="H57" s="27">
        <f>H43+H55</f>
        <v>46730.156757119999</v>
      </c>
      <c r="I57" s="36">
        <v>29.1252</v>
      </c>
      <c r="J57" s="37">
        <f>J40</f>
        <v>519.98578999999995</v>
      </c>
      <c r="K57" s="38">
        <f>K43+K55</f>
        <v>90868140.785448</v>
      </c>
      <c r="L57" s="68">
        <f>L52</f>
        <v>0.27272999999999997</v>
      </c>
      <c r="M57" s="39">
        <f>M43+M55</f>
        <v>22103218.266335998</v>
      </c>
      <c r="N57" s="38">
        <f>N55</f>
        <v>1393.94</v>
      </c>
      <c r="O57" s="184"/>
      <c r="P57" s="38"/>
      <c r="Q57" s="27">
        <f>Q55+Q43</f>
        <v>112971359.05178399</v>
      </c>
      <c r="R57" s="27">
        <f>R55+R43</f>
        <v>135565630.86214077</v>
      </c>
      <c r="S57" s="27">
        <f>S43+S55</f>
        <v>112970923.88140801</v>
      </c>
      <c r="T57" s="28">
        <f>T43+T55</f>
        <v>135565108.6576896</v>
      </c>
    </row>
    <row r="58" spans="1:20" s="171" customFormat="1" ht="22.5" customHeight="1" thickBot="1" x14ac:dyDescent="0.3">
      <c r="A58" s="234"/>
      <c r="B58" s="198" t="s">
        <v>25</v>
      </c>
      <c r="C58" s="207">
        <f>C44+C56</f>
        <v>94112.208000000013</v>
      </c>
      <c r="D58" s="207">
        <f>D44+D56</f>
        <v>7643.4520000000002</v>
      </c>
      <c r="E58" s="235">
        <f t="shared" si="6"/>
        <v>8.1216370994079745E-2</v>
      </c>
      <c r="F58" s="207">
        <f>F44+F56</f>
        <v>86468.756000000008</v>
      </c>
      <c r="G58" s="207">
        <f>G44+G56</f>
        <v>37774.840000000004</v>
      </c>
      <c r="H58" s="207">
        <f>H44+H56</f>
        <v>48693.915999999997</v>
      </c>
      <c r="I58" s="236">
        <v>29.1252</v>
      </c>
      <c r="J58" s="237">
        <f>J41</f>
        <v>519.98578999999995</v>
      </c>
      <c r="K58" s="207">
        <f>K44+K56</f>
        <v>90868140.785448</v>
      </c>
      <c r="L58" s="238">
        <f>L53</f>
        <v>0.27272999999999997</v>
      </c>
      <c r="M58" s="239">
        <f>M44+M56</f>
        <v>23582623.823879998</v>
      </c>
      <c r="N58" s="207">
        <f>N57</f>
        <v>1393.94</v>
      </c>
      <c r="O58" s="207">
        <f>O44+O56</f>
        <v>24151525.234549999</v>
      </c>
      <c r="P58" s="207">
        <f>O58/D58</f>
        <v>3159.7667172568099</v>
      </c>
      <c r="Q58" s="207">
        <f>Q44+Q56</f>
        <v>114450764.60932799</v>
      </c>
      <c r="R58" s="207">
        <f>R44+R56</f>
        <v>137340917.53119361</v>
      </c>
      <c r="S58" s="207">
        <f>S44+S56</f>
        <v>120532257.73864001</v>
      </c>
      <c r="T58" s="208">
        <f>T44+T56</f>
        <v>144638709.28636801</v>
      </c>
    </row>
    <row r="59" spans="1:20" ht="15" customHeight="1" x14ac:dyDescent="0.2">
      <c r="A59" s="2" t="s">
        <v>47</v>
      </c>
      <c r="B59" s="3" t="s">
        <v>24</v>
      </c>
      <c r="C59" s="7">
        <f>C33+C57</f>
        <v>177085.2</v>
      </c>
      <c r="D59" s="7">
        <f>D33+D57</f>
        <v>12980.3</v>
      </c>
      <c r="E59" s="6">
        <f t="shared" si="6"/>
        <v>7.3299744981511719E-2</v>
      </c>
      <c r="F59" s="7">
        <f>F33+F57</f>
        <v>164104.9</v>
      </c>
      <c r="G59" s="7">
        <f>G33+G57</f>
        <v>69482.014660000001</v>
      </c>
      <c r="H59" s="7">
        <f>H33+H57</f>
        <v>94622.885340000008</v>
      </c>
      <c r="I59" s="8">
        <v>29.1252</v>
      </c>
      <c r="J59" s="9">
        <v>519.98578999999995</v>
      </c>
      <c r="K59" s="10">
        <f>K57+K33</f>
        <v>181736281.570896</v>
      </c>
      <c r="L59" s="63">
        <f>(L33*6+L58*6)/12</f>
        <v>0.24141500000000002</v>
      </c>
      <c r="M59" s="11">
        <f>M33+M57</f>
        <v>39554245.452015996</v>
      </c>
      <c r="N59" s="10">
        <f>(N33*6+N52*6)/12</f>
        <v>1349.0199999999998</v>
      </c>
      <c r="O59" s="10"/>
      <c r="P59" s="10"/>
      <c r="Q59" s="7">
        <v>221290529.55000001</v>
      </c>
      <c r="R59" s="4">
        <f>Q59*1.2</f>
        <v>265548635.46000001</v>
      </c>
      <c r="S59" s="4">
        <v>221290529.55000001</v>
      </c>
      <c r="T59" s="64">
        <f>S59*1.2</f>
        <v>265548635.46000001</v>
      </c>
    </row>
    <row r="60" spans="1:20" s="171" customFormat="1" ht="15" thickBot="1" x14ac:dyDescent="0.3">
      <c r="A60" s="231"/>
      <c r="B60" s="50" t="s">
        <v>25</v>
      </c>
      <c r="C60" s="60">
        <f>C34+C58</f>
        <v>186963.842</v>
      </c>
      <c r="D60" s="60">
        <f>D34+D58</f>
        <v>14199.14</v>
      </c>
      <c r="E60" s="167">
        <f t="shared" si="6"/>
        <v>7.5945914718633128E-2</v>
      </c>
      <c r="F60" s="60">
        <f>F34+F58</f>
        <v>172764.70199999999</v>
      </c>
      <c r="G60" s="60">
        <f>G34+G58</f>
        <v>75051.337</v>
      </c>
      <c r="H60" s="60">
        <f>H34+H58</f>
        <v>97713.365000000005</v>
      </c>
      <c r="I60" s="232">
        <v>29.1252</v>
      </c>
      <c r="J60" s="169">
        <v>519.98578999999995</v>
      </c>
      <c r="K60" s="116">
        <f>K34+K58</f>
        <v>181736281.570896</v>
      </c>
      <c r="L60" s="170">
        <f>(L34*6+L53*6)/12</f>
        <v>0.24141500000000002</v>
      </c>
      <c r="M60" s="233">
        <f>M34+M58</f>
        <v>41713402.078479998</v>
      </c>
      <c r="N60" s="116">
        <f>(N34*6+N58*6)/12</f>
        <v>1349.0199999999998</v>
      </c>
      <c r="O60" s="116">
        <f>O34+O58</f>
        <v>43334293.302749999</v>
      </c>
      <c r="P60" s="60">
        <f>O60/D60</f>
        <v>3051.8956290838742</v>
      </c>
      <c r="Q60" s="60">
        <f>Q34+Q58</f>
        <v>223449683.64937598</v>
      </c>
      <c r="R60" s="60">
        <f>R34+R58</f>
        <v>268139620.37925121</v>
      </c>
      <c r="S60" s="60">
        <f>S34+S58</f>
        <v>233070800.91723999</v>
      </c>
      <c r="T60" s="61">
        <f>T34+T58</f>
        <v>279684961.10068798</v>
      </c>
    </row>
    <row r="61" spans="1:20" s="29" customFormat="1" ht="17.25" customHeight="1" x14ac:dyDescent="0.2">
      <c r="A61" s="117"/>
      <c r="B61" s="82"/>
      <c r="C61" s="175"/>
      <c r="D61" s="175"/>
      <c r="E61" s="141"/>
      <c r="F61" s="175"/>
      <c r="G61" s="175"/>
      <c r="H61" s="175"/>
      <c r="I61" s="175"/>
      <c r="J61" s="121"/>
      <c r="K61" s="83"/>
      <c r="L61" s="84"/>
      <c r="M61" s="85"/>
      <c r="N61" s="175"/>
      <c r="O61" s="83"/>
      <c r="P61" s="83"/>
      <c r="Q61" s="175"/>
      <c r="R61" s="175"/>
      <c r="S61" s="86"/>
      <c r="T61" s="86"/>
    </row>
    <row r="62" spans="1:20" s="29" customFormat="1" ht="15" customHeight="1" x14ac:dyDescent="0.2">
      <c r="A62" s="117" t="s">
        <v>48</v>
      </c>
      <c r="B62" s="82"/>
      <c r="C62" s="86"/>
      <c r="D62" s="118"/>
      <c r="E62" s="119"/>
      <c r="F62" s="118"/>
      <c r="G62" s="118"/>
      <c r="H62" s="118"/>
      <c r="I62" s="120"/>
      <c r="J62" s="121"/>
      <c r="K62" s="83"/>
      <c r="L62" s="84"/>
      <c r="M62" s="83"/>
      <c r="N62" s="122"/>
      <c r="O62" s="83"/>
      <c r="P62" s="83"/>
      <c r="Q62" s="175"/>
      <c r="R62" s="175"/>
      <c r="S62" s="83"/>
      <c r="T62" s="83"/>
    </row>
    <row r="63" spans="1:20" s="29" customFormat="1" ht="15" customHeight="1" x14ac:dyDescent="0.2">
      <c r="A63" s="117"/>
      <c r="B63" s="82"/>
      <c r="C63" s="86"/>
      <c r="D63" s="118"/>
      <c r="E63" s="119"/>
      <c r="F63" s="118"/>
      <c r="G63" s="118"/>
      <c r="H63" s="118"/>
      <c r="I63" s="120"/>
      <c r="J63" s="121"/>
      <c r="K63" s="83"/>
      <c r="L63" s="83"/>
      <c r="M63" s="83"/>
      <c r="N63" s="123"/>
      <c r="O63" s="83"/>
      <c r="P63" s="83"/>
      <c r="Q63" s="83"/>
      <c r="R63" s="83"/>
      <c r="S63" s="83"/>
      <c r="T63" s="124"/>
    </row>
    <row r="64" spans="1:20" ht="19.5" customHeight="1" x14ac:dyDescent="0.25">
      <c r="A64" s="87"/>
      <c r="B64" s="87"/>
      <c r="C64" s="87"/>
      <c r="D64" s="87"/>
      <c r="E64" s="87"/>
      <c r="F64" s="87"/>
      <c r="G64" s="125" t="s">
        <v>49</v>
      </c>
      <c r="H64" s="87"/>
      <c r="I64" s="87"/>
      <c r="J64" s="87"/>
      <c r="K64" s="87"/>
      <c r="L64" s="126" t="s">
        <v>50</v>
      </c>
      <c r="M64" s="87"/>
      <c r="N64" s="87"/>
      <c r="O64" s="87"/>
      <c r="P64" s="87"/>
      <c r="Q64" s="87"/>
      <c r="R64" s="87"/>
      <c r="S64" s="87"/>
      <c r="T64" s="87"/>
    </row>
    <row r="65" spans="7:14" ht="23.25" customHeight="1" x14ac:dyDescent="0.25">
      <c r="G65" s="125" t="s">
        <v>51</v>
      </c>
      <c r="H65" s="130"/>
      <c r="I65" s="131"/>
      <c r="J65" s="132"/>
      <c r="K65" s="133"/>
      <c r="L65" s="126" t="s">
        <v>52</v>
      </c>
      <c r="M65" s="126"/>
      <c r="N65" s="126"/>
    </row>
    <row r="66" spans="7:14" ht="12.75" customHeight="1" x14ac:dyDescent="0.2">
      <c r="L66" s="135"/>
      <c r="M66" s="135"/>
      <c r="N66" s="135"/>
    </row>
    <row r="67" spans="7:14" ht="12.75" customHeight="1" x14ac:dyDescent="0.2"/>
    <row r="68" spans="7:14" ht="12.75" customHeight="1" x14ac:dyDescent="0.2"/>
    <row r="69" spans="7:14" ht="12.75" customHeight="1" x14ac:dyDescent="0.2"/>
  </sheetData>
  <mergeCells count="14">
    <mergeCell ref="Q2:R2"/>
    <mergeCell ref="S2:T2"/>
    <mergeCell ref="J2:J3"/>
    <mergeCell ref="K2:K3"/>
    <mergeCell ref="L2:L3"/>
    <mergeCell ref="M2:M3"/>
    <mergeCell ref="N2:N3"/>
    <mergeCell ref="O2:P2"/>
    <mergeCell ref="A2:B3"/>
    <mergeCell ref="C2:C3"/>
    <mergeCell ref="D2:E3"/>
    <mergeCell ref="F2:F3"/>
    <mergeCell ref="G2:H2"/>
    <mergeCell ref="I2:I3"/>
  </mergeCells>
  <pageMargins left="0.25590551181102361" right="0.25590551181102361" top="0.74803149606299213" bottom="0.25590551181102361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2023-01-26T08:25:36Z</dcterms:modified>
</cp:coreProperties>
</file>